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18"/>
  <workbookPr defaultThemeVersion="166925"/>
  <mc:AlternateContent xmlns:mc="http://schemas.openxmlformats.org/markup-compatibility/2006">
    <mc:Choice Requires="x15">
      <x15ac:absPath xmlns:x15ac="http://schemas.microsoft.com/office/spreadsheetml/2010/11/ac" url="/Users/Hicks/Dropbox/Free Giveaways/"/>
    </mc:Choice>
  </mc:AlternateContent>
  <xr:revisionPtr revIDLastSave="0" documentId="13_ncr:1_{0DD8DBD7-A3F0-6D44-91CD-8B320253E7CE}" xr6:coauthVersionLast="45" xr6:coauthVersionMax="45" xr10:uidLastSave="{00000000-0000-0000-0000-000000000000}"/>
  <bookViews>
    <workbookView xWindow="-40720" yWindow="-2980" windowWidth="36320" windowHeight="21680" activeTab="2" xr2:uid="{E002000A-825C-384E-8F8C-43D3E00F3926}"/>
  </bookViews>
  <sheets>
    <sheet name="Welcome" sheetId="3" r:id="rId1"/>
    <sheet name="Cash Flow Calculator" sheetId="1" r:id="rId2"/>
    <sheet name="IRR Calculation" sheetId="2"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 i="2" l="1"/>
  <c r="C8" i="1" l="1"/>
  <c r="G54" i="1"/>
  <c r="G52" i="1"/>
  <c r="H52" i="1" s="1"/>
  <c r="I52" i="1" s="1"/>
  <c r="J52" i="1" s="1"/>
  <c r="K52" i="1" s="1"/>
  <c r="G51" i="1"/>
  <c r="G50" i="1"/>
  <c r="G48" i="1"/>
  <c r="G47" i="1"/>
  <c r="G46" i="1"/>
  <c r="G45" i="1"/>
  <c r="G44" i="1"/>
  <c r="G43" i="1"/>
  <c r="G42" i="1"/>
  <c r="G38" i="1"/>
  <c r="G37" i="1"/>
  <c r="G36" i="1"/>
  <c r="G35" i="1"/>
  <c r="G34" i="1"/>
  <c r="H27" i="1"/>
  <c r="H47" i="1" s="1"/>
  <c r="G27" i="1"/>
  <c r="H26" i="1"/>
  <c r="G26" i="1"/>
  <c r="H32" i="1"/>
  <c r="H16" i="1"/>
  <c r="E31" i="1" s="1"/>
  <c r="E32" i="1" s="1"/>
  <c r="G16" i="1"/>
  <c r="F31" i="1" s="1"/>
  <c r="G31" i="1" s="1"/>
  <c r="C71" i="1"/>
  <c r="K32" i="1"/>
  <c r="F8" i="1"/>
  <c r="P27" i="1"/>
  <c r="L27" i="1"/>
  <c r="O26" i="1"/>
  <c r="I15" i="1"/>
  <c r="I14" i="1"/>
  <c r="I12" i="1"/>
  <c r="I11" i="1"/>
  <c r="I10" i="1"/>
  <c r="H34" i="1" l="1"/>
  <c r="H35" i="1"/>
  <c r="H36" i="1"/>
  <c r="H37" i="1"/>
  <c r="H38" i="1"/>
  <c r="H43" i="1"/>
  <c r="H48" i="1"/>
  <c r="H50" i="1"/>
  <c r="J71" i="1"/>
  <c r="M71" i="1"/>
  <c r="L71" i="1"/>
  <c r="K71" i="1"/>
  <c r="H46" i="1"/>
  <c r="H45" i="1"/>
  <c r="H51" i="1"/>
  <c r="H54" i="1"/>
  <c r="E39" i="1"/>
  <c r="E55" i="1" s="1"/>
  <c r="E56" i="1" s="1"/>
  <c r="F33" i="1"/>
  <c r="M52" i="1"/>
  <c r="O52" i="1" s="1"/>
  <c r="P52" i="1" s="1"/>
  <c r="L52" i="1"/>
  <c r="N52" i="1" s="1"/>
  <c r="N71" i="1"/>
  <c r="G71" i="1"/>
  <c r="G78" i="1" s="1"/>
  <c r="F62" i="1"/>
  <c r="G62" i="1" s="1"/>
  <c r="H62" i="1" s="1"/>
  <c r="I62" i="1" s="1"/>
  <c r="J62" i="1" s="1"/>
  <c r="K62" i="1" s="1"/>
  <c r="L62" i="1" s="1"/>
  <c r="M62" i="1" s="1"/>
  <c r="N62" i="1" s="1"/>
  <c r="O62" i="1" s="1"/>
  <c r="P62" i="1" s="1"/>
  <c r="H71" i="1"/>
  <c r="P71" i="1"/>
  <c r="H42" i="1"/>
  <c r="O71" i="1"/>
  <c r="H44" i="1"/>
  <c r="I71" i="1"/>
  <c r="I48" i="1"/>
  <c r="J48" i="1" s="1"/>
  <c r="K48" i="1" s="1"/>
  <c r="L48" i="1" s="1"/>
  <c r="M48" i="1" s="1"/>
  <c r="N48" i="1" s="1"/>
  <c r="O48" i="1" s="1"/>
  <c r="P48" i="1" s="1"/>
  <c r="P26" i="1"/>
  <c r="C19" i="1"/>
  <c r="C9" i="1" s="1"/>
  <c r="I27" i="1"/>
  <c r="I51" i="1" s="1"/>
  <c r="I54" i="1"/>
  <c r="J54" i="1" s="1"/>
  <c r="K54" i="1" s="1"/>
  <c r="L54" i="1" s="1"/>
  <c r="M54" i="1" s="1"/>
  <c r="N54" i="1" s="1"/>
  <c r="O54" i="1" s="1"/>
  <c r="P54" i="1" s="1"/>
  <c r="I13" i="1"/>
  <c r="K27" i="1"/>
  <c r="M27" i="1"/>
  <c r="I32" i="1"/>
  <c r="M32" i="1"/>
  <c r="P32" i="1"/>
  <c r="L32" i="1"/>
  <c r="I26" i="1"/>
  <c r="I34" i="1" s="1"/>
  <c r="N27" i="1"/>
  <c r="N32" i="1"/>
  <c r="J26" i="1"/>
  <c r="O27" i="1"/>
  <c r="O32" i="1"/>
  <c r="K26" i="1"/>
  <c r="L26" i="1"/>
  <c r="M26" i="1"/>
  <c r="J27" i="1"/>
  <c r="J32" i="1"/>
  <c r="N26" i="1"/>
  <c r="I42" i="1" l="1"/>
  <c r="C67" i="1"/>
  <c r="C69" i="1" s="1"/>
  <c r="G2" i="2"/>
  <c r="C2" i="2"/>
  <c r="B2" i="2"/>
  <c r="I35" i="1"/>
  <c r="H78" i="1"/>
  <c r="C10" i="1"/>
  <c r="G33" i="1"/>
  <c r="G39" i="1" s="1"/>
  <c r="H31" i="1"/>
  <c r="E58" i="1"/>
  <c r="O9" i="1" s="1"/>
  <c r="J42" i="1"/>
  <c r="I46" i="1"/>
  <c r="J46" i="1" s="1"/>
  <c r="K46" i="1" s="1"/>
  <c r="L46" i="1" s="1"/>
  <c r="M46" i="1" s="1"/>
  <c r="N46" i="1" s="1"/>
  <c r="O46" i="1" s="1"/>
  <c r="P46" i="1" s="1"/>
  <c r="I47" i="1"/>
  <c r="J47" i="1" s="1"/>
  <c r="K47" i="1" s="1"/>
  <c r="L47" i="1" s="1"/>
  <c r="M47" i="1" s="1"/>
  <c r="N47" i="1" s="1"/>
  <c r="O47" i="1" s="1"/>
  <c r="P47" i="1" s="1"/>
  <c r="I50" i="1"/>
  <c r="J50" i="1" s="1"/>
  <c r="K50" i="1" s="1"/>
  <c r="L50" i="1" s="1"/>
  <c r="M50" i="1" s="1"/>
  <c r="N50" i="1" s="1"/>
  <c r="O50" i="1" s="1"/>
  <c r="P50" i="1" s="1"/>
  <c r="I44" i="1"/>
  <c r="J44" i="1" s="1"/>
  <c r="K44" i="1" s="1"/>
  <c r="L44" i="1" s="1"/>
  <c r="M44" i="1" s="1"/>
  <c r="N44" i="1" s="1"/>
  <c r="O44" i="1" s="1"/>
  <c r="P44" i="1" s="1"/>
  <c r="I45" i="1"/>
  <c r="J45" i="1" s="1"/>
  <c r="K45" i="1" s="1"/>
  <c r="L45" i="1" s="1"/>
  <c r="M45" i="1" s="1"/>
  <c r="N45" i="1" s="1"/>
  <c r="O45" i="1" s="1"/>
  <c r="P45" i="1" s="1"/>
  <c r="I43" i="1"/>
  <c r="J43" i="1" s="1"/>
  <c r="K43" i="1" s="1"/>
  <c r="L43" i="1" s="1"/>
  <c r="M43" i="1" s="1"/>
  <c r="N43" i="1" s="1"/>
  <c r="O43" i="1" s="1"/>
  <c r="P43" i="1" s="1"/>
  <c r="J51" i="1"/>
  <c r="K51" i="1" s="1"/>
  <c r="L51" i="1" s="1"/>
  <c r="M51" i="1" s="1"/>
  <c r="N51" i="1" s="1"/>
  <c r="O51" i="1" s="1"/>
  <c r="P51" i="1" s="1"/>
  <c r="K42" i="1"/>
  <c r="H33" i="1" l="1"/>
  <c r="H39" i="1" s="1"/>
  <c r="I31" i="1"/>
  <c r="G49" i="1"/>
  <c r="G53" i="1"/>
  <c r="F39" i="1"/>
  <c r="L42" i="1"/>
  <c r="G55" i="1" l="1"/>
  <c r="G56" i="1" s="1"/>
  <c r="H49" i="1"/>
  <c r="H53" i="1"/>
  <c r="F55" i="1"/>
  <c r="F56" i="1" s="1"/>
  <c r="G58" i="1"/>
  <c r="L11" i="1" s="1"/>
  <c r="M42" i="1"/>
  <c r="F58" i="1" l="1"/>
  <c r="F61" i="1" s="1"/>
  <c r="F63" i="1" s="1"/>
  <c r="F64" i="1" s="1"/>
  <c r="G61" i="1"/>
  <c r="G63" i="1" s="1"/>
  <c r="B3" i="2" s="1"/>
  <c r="H55" i="1"/>
  <c r="N42" i="1"/>
  <c r="H56" i="1" l="1"/>
  <c r="H58" i="1"/>
  <c r="H61" i="1" s="1"/>
  <c r="H63" i="1" s="1"/>
  <c r="B4" i="2" s="1"/>
  <c r="G67" i="1"/>
  <c r="G64" i="1"/>
  <c r="O42" i="1"/>
  <c r="G69" i="1" l="1"/>
  <c r="C3" i="2"/>
  <c r="G68" i="1"/>
  <c r="H67" i="1"/>
  <c r="H64" i="1"/>
  <c r="P42" i="1"/>
  <c r="H69" i="1" l="1"/>
  <c r="C4" i="2"/>
  <c r="G79" i="1"/>
  <c r="H79" i="1" s="1"/>
  <c r="G75" i="1" l="1"/>
  <c r="L9" i="1" l="1"/>
  <c r="L8" i="1" l="1"/>
  <c r="G72" i="1"/>
  <c r="G73" i="1" s="1"/>
  <c r="L10" i="1" s="1"/>
  <c r="J34" i="1" l="1"/>
  <c r="K34" i="1" s="1"/>
  <c r="L34" i="1" s="1"/>
  <c r="M34" i="1" s="1"/>
  <c r="N34" i="1" s="1"/>
  <c r="O34" i="1" s="1"/>
  <c r="P34" i="1" s="1"/>
  <c r="I38" i="1" l="1"/>
  <c r="J38" i="1" s="1"/>
  <c r="K38" i="1" s="1"/>
  <c r="L38" i="1" s="1"/>
  <c r="M38" i="1" s="1"/>
  <c r="N38" i="1" s="1"/>
  <c r="O38" i="1" s="1"/>
  <c r="P38" i="1" s="1"/>
  <c r="J35" i="1"/>
  <c r="K35" i="1" s="1"/>
  <c r="L35" i="1" s="1"/>
  <c r="M35" i="1" s="1"/>
  <c r="N35" i="1" s="1"/>
  <c r="O35" i="1" s="1"/>
  <c r="P35" i="1" s="1"/>
  <c r="I37" i="1"/>
  <c r="J37" i="1" s="1"/>
  <c r="K37" i="1" s="1"/>
  <c r="L37" i="1" s="1"/>
  <c r="M37" i="1" s="1"/>
  <c r="N37" i="1" s="1"/>
  <c r="O37" i="1" s="1"/>
  <c r="P37" i="1" s="1"/>
  <c r="I36" i="1"/>
  <c r="J36" i="1" s="1"/>
  <c r="K36" i="1" s="1"/>
  <c r="L36" i="1" s="1"/>
  <c r="M36" i="1" s="1"/>
  <c r="N36" i="1" s="1"/>
  <c r="O36" i="1" s="1"/>
  <c r="P36" i="1" s="1"/>
  <c r="J31" i="1" l="1"/>
  <c r="I33" i="1"/>
  <c r="I39" i="1" s="1"/>
  <c r="I53" i="1" l="1"/>
  <c r="I49" i="1"/>
  <c r="K31" i="1"/>
  <c r="J33" i="1"/>
  <c r="J39" i="1" s="1"/>
  <c r="I55" i="1" l="1"/>
  <c r="I56" i="1" s="1"/>
  <c r="L31" i="1"/>
  <c r="K33" i="1"/>
  <c r="K39" i="1" s="1"/>
  <c r="J49" i="1"/>
  <c r="J53" i="1"/>
  <c r="I58" i="1" l="1"/>
  <c r="I61" i="1" s="1"/>
  <c r="J55" i="1"/>
  <c r="J56" i="1" s="1"/>
  <c r="K49" i="1"/>
  <c r="K53" i="1"/>
  <c r="M31" i="1"/>
  <c r="L33" i="1"/>
  <c r="L39" i="1" s="1"/>
  <c r="J58" i="1" l="1"/>
  <c r="J61" i="1" s="1"/>
  <c r="L53" i="1"/>
  <c r="L49" i="1"/>
  <c r="M33" i="1"/>
  <c r="M39" i="1" s="1"/>
  <c r="N31" i="1"/>
  <c r="K55" i="1"/>
  <c r="L55" i="1" l="1"/>
  <c r="L56" i="1" s="1"/>
  <c r="M53" i="1"/>
  <c r="M49" i="1"/>
  <c r="N33" i="1"/>
  <c r="N39" i="1" s="1"/>
  <c r="O31" i="1"/>
  <c r="K56" i="1"/>
  <c r="K58" i="1"/>
  <c r="O8" i="1" s="1"/>
  <c r="L58" i="1" l="1"/>
  <c r="L61" i="1" s="1"/>
  <c r="M55" i="1"/>
  <c r="M56" i="1" s="1"/>
  <c r="K61" i="1"/>
  <c r="O10" i="1"/>
  <c r="P31" i="1"/>
  <c r="P33" i="1" s="1"/>
  <c r="P39" i="1" s="1"/>
  <c r="O33" i="1"/>
  <c r="O39" i="1" s="1"/>
  <c r="N49" i="1"/>
  <c r="N53" i="1"/>
  <c r="M58" i="1" l="1"/>
  <c r="M61" i="1" s="1"/>
  <c r="N55" i="1"/>
  <c r="O49" i="1"/>
  <c r="O53" i="1"/>
  <c r="P49" i="1"/>
  <c r="P53" i="1"/>
  <c r="O11" i="1"/>
  <c r="I79" i="1"/>
  <c r="I78" i="1"/>
  <c r="J78" i="1" l="1"/>
  <c r="K78" i="1" s="1"/>
  <c r="J79" i="1"/>
  <c r="K79" i="1" s="1"/>
  <c r="L79" i="1" s="1"/>
  <c r="M79" i="1" s="1"/>
  <c r="N79" i="1" s="1"/>
  <c r="O79" i="1" s="1"/>
  <c r="P79" i="1" s="1"/>
  <c r="O55" i="1"/>
  <c r="P55" i="1"/>
  <c r="N56" i="1"/>
  <c r="N58" i="1"/>
  <c r="N61" i="1" s="1"/>
  <c r="K63" i="1"/>
  <c r="K75" i="1"/>
  <c r="J75" i="1"/>
  <c r="J63" i="1"/>
  <c r="B6" i="2" s="1"/>
  <c r="I75" i="1"/>
  <c r="I63" i="1"/>
  <c r="B5" i="2" s="1"/>
  <c r="L78" i="1" l="1"/>
  <c r="M78" i="1" s="1"/>
  <c r="N78" i="1" s="1"/>
  <c r="O78" i="1" s="1"/>
  <c r="P78" i="1" s="1"/>
  <c r="O12" i="1"/>
  <c r="O13" i="1" s="1"/>
  <c r="I64" i="1"/>
  <c r="I67" i="1"/>
  <c r="K67" i="1"/>
  <c r="K64" i="1"/>
  <c r="J64" i="1"/>
  <c r="J67" i="1"/>
  <c r="P56" i="1"/>
  <c r="P58" i="1"/>
  <c r="P61" i="1" s="1"/>
  <c r="O56" i="1"/>
  <c r="O58" i="1"/>
  <c r="O61" i="1" s="1"/>
  <c r="I72" i="1"/>
  <c r="I73" i="1" s="1"/>
  <c r="L75" i="1"/>
  <c r="L63" i="1"/>
  <c r="J72" i="1"/>
  <c r="J73" i="1" s="1"/>
  <c r="K72" i="1"/>
  <c r="K73" i="1" s="1"/>
  <c r="J69" i="1" l="1"/>
  <c r="C6" i="2"/>
  <c r="K69" i="1"/>
  <c r="I69" i="1"/>
  <c r="C5" i="2"/>
  <c r="I2" i="2" s="1"/>
  <c r="J2" i="2" s="1"/>
  <c r="C8" i="2" s="1"/>
  <c r="C7" i="2" s="1"/>
  <c r="C9" i="2" s="1"/>
  <c r="B8" i="2"/>
  <c r="B7" i="2" s="1"/>
  <c r="B9" i="2" s="1"/>
  <c r="L13" i="1" s="1"/>
  <c r="L64" i="1"/>
  <c r="L67" i="1"/>
  <c r="L69" i="1" s="1"/>
  <c r="I68" i="1"/>
  <c r="K68" i="1"/>
  <c r="J68" i="1"/>
  <c r="M75" i="1"/>
  <c r="M63" i="1"/>
  <c r="L72" i="1"/>
  <c r="L73" i="1" s="1"/>
  <c r="L15" i="1" l="1"/>
  <c r="K70" i="1"/>
  <c r="M67" i="1"/>
  <c r="M69" i="1" s="1"/>
  <c r="M64" i="1"/>
  <c r="M72" i="1"/>
  <c r="M73" i="1" s="1"/>
  <c r="L68" i="1"/>
  <c r="N63" i="1"/>
  <c r="N75" i="1"/>
  <c r="N67" i="1" l="1"/>
  <c r="N69" i="1" s="1"/>
  <c r="N64" i="1"/>
  <c r="M68" i="1"/>
  <c r="N72" i="1"/>
  <c r="N73" i="1" s="1"/>
  <c r="O75" i="1"/>
  <c r="O63" i="1"/>
  <c r="O67" i="1" l="1"/>
  <c r="O69" i="1" s="1"/>
  <c r="O64" i="1"/>
  <c r="N68" i="1"/>
  <c r="P75" i="1"/>
  <c r="P63" i="1"/>
  <c r="O72" i="1"/>
  <c r="O73" i="1" s="1"/>
  <c r="P67" i="1" l="1"/>
  <c r="P69" i="1" s="1"/>
  <c r="P64" i="1"/>
  <c r="O68" i="1"/>
  <c r="P72" i="1"/>
  <c r="P73" i="1" s="1"/>
  <c r="P68" i="1" l="1"/>
  <c r="H75" i="1" l="1"/>
  <c r="H72" i="1" l="1"/>
  <c r="H73" i="1" s="1"/>
  <c r="L14" i="1"/>
  <c r="H68" i="1" l="1"/>
  <c r="L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Theo Hicks</author>
  </authors>
  <commentList>
    <comment ref="K9" authorId="0" shapeId="0" xr:uid="{4FDB29C2-307A-FD45-941D-578D68B25977}">
      <text>
        <r>
          <rPr>
            <b/>
            <sz val="10"/>
            <color indexed="81"/>
            <rFont val="Calibri"/>
            <family val="2"/>
          </rPr>
          <t>Theo Hicks:</t>
        </r>
        <r>
          <rPr>
            <sz val="10"/>
            <color indexed="81"/>
            <rFont val="Calibri"/>
            <family val="2"/>
          </rPr>
          <t xml:space="preserve">
annual cash flow divided by cash outlay for the entire project</t>
        </r>
      </text>
    </comment>
    <comment ref="K10" authorId="0" shapeId="0" xr:uid="{157E8C60-71E2-DC4B-8149-BC779C34D700}">
      <text>
        <r>
          <rPr>
            <b/>
            <sz val="10"/>
            <color rgb="FF000000"/>
            <rFont val="Calibri"/>
            <family val="2"/>
          </rPr>
          <t>Theo Hicks:</t>
        </r>
        <r>
          <rPr>
            <sz val="10"/>
            <color rgb="FF000000"/>
            <rFont val="Calibri"/>
            <family val="2"/>
          </rPr>
          <t xml:space="preserve">
</t>
        </r>
        <r>
          <rPr>
            <sz val="10"/>
            <color rgb="FF000000"/>
            <rFont val="Calibri"/>
            <family val="2"/>
          </rPr>
          <t>Return that includes annual cash flow and equity accrued</t>
        </r>
      </text>
    </comment>
  </commentList>
</comments>
</file>

<file path=xl/sharedStrings.xml><?xml version="1.0" encoding="utf-8"?>
<sst xmlns="http://schemas.openxmlformats.org/spreadsheetml/2006/main" count="159" uniqueCount="131">
  <si>
    <t>Do you need debt for your deal, equity for your deal, or maybe a loan guarantor to get qualified for financing? Here is a mortgage broker that the clients in my consulting program and my company have used: Marc Belsky at Eastern Union. Call Marc at 212-897-9875 or send him an email at mbelsky@easterneq.com.</t>
  </si>
  <si>
    <t>Simplified Cash Flow Calculator</t>
  </si>
  <si>
    <t>The simplified cash flow calculator is a base financial model for underwriting apartment deals. My recommendation is to become comfortable with his model first, and then customize it to your liking. Review the current model, which is completed for a 250+ unit deal my company did, and then delete all cells in red to begin underwriting your own deals.</t>
  </si>
  <si>
    <t>To use the model, follow the underwriting instructions outlined in Syndication School Series #14. Only input data into the cells in red. For tips about certain data points, hover your cursor over the cells with comments (denoted with a red arrow at the top of the cell).</t>
  </si>
  <si>
    <t xml:space="preserve">Click here more free content on raising money and buying apartments with passive investors. </t>
  </si>
  <si>
    <t>ONLY INPUT DATA IN CELLS WITH RED FONT</t>
  </si>
  <si>
    <t>Click here for more free content on raising money and buying apartments with passive investors</t>
  </si>
  <si>
    <t>Assumptions</t>
  </si>
  <si>
    <t>Renovation costs excluded from financing</t>
  </si>
  <si>
    <t>Asset stabilized after 12 months</t>
  </si>
  <si>
    <t>Disposition at end of year 5</t>
  </si>
  <si>
    <t>Sources</t>
  </si>
  <si>
    <t>Unit Mix</t>
  </si>
  <si>
    <t>Projections</t>
  </si>
  <si>
    <t>Disposition Summary</t>
  </si>
  <si>
    <t>Financing</t>
  </si>
  <si>
    <t>Number of Units</t>
  </si>
  <si>
    <t>Year 1 Cash Flow</t>
  </si>
  <si>
    <t>Exit NOI</t>
  </si>
  <si>
    <t>Investor Equity</t>
  </si>
  <si>
    <t>Unit Type</t>
  </si>
  <si>
    <t># of units</t>
  </si>
  <si>
    <t>Renovated  Rents</t>
  </si>
  <si>
    <t>Current  Rents</t>
  </si>
  <si>
    <t>Premiums</t>
  </si>
  <si>
    <t>Year 1 Cash ROI</t>
  </si>
  <si>
    <t>Exit Cap Rate</t>
  </si>
  <si>
    <t>Total</t>
  </si>
  <si>
    <t>A1</t>
  </si>
  <si>
    <t>Year 1 Total ROI</t>
  </si>
  <si>
    <t>Exit Price</t>
  </si>
  <si>
    <t>A2</t>
  </si>
  <si>
    <t>Year 1 Cap Rate</t>
  </si>
  <si>
    <t>Closing Costs</t>
  </si>
  <si>
    <t>Uses</t>
  </si>
  <si>
    <t>B1</t>
  </si>
  <si>
    <t>Project Cash ROI</t>
  </si>
  <si>
    <t>Remaining Debt</t>
  </si>
  <si>
    <t>Purchase Price</t>
  </si>
  <si>
    <t>B2</t>
  </si>
  <si>
    <t>Project Year 5 IRR</t>
  </si>
  <si>
    <t>Sales Procceds</t>
  </si>
  <si>
    <t>Capital Improvements</t>
  </si>
  <si>
    <t>B3</t>
  </si>
  <si>
    <t>LP Cash ROI</t>
  </si>
  <si>
    <t>Operating Account Funding</t>
  </si>
  <si>
    <t>C1</t>
  </si>
  <si>
    <t>LP Year 5 IRR</t>
  </si>
  <si>
    <t>Acquisition Fee</t>
  </si>
  <si>
    <t>GPR</t>
  </si>
  <si>
    <t>Financing Fees</t>
  </si>
  <si>
    <t>Total Uses</t>
  </si>
  <si>
    <t>5 Year Projection</t>
  </si>
  <si>
    <t>Annual Revenue Increase</t>
  </si>
  <si>
    <t>Annual Operating Expense Increase</t>
  </si>
  <si>
    <t>Current</t>
  </si>
  <si>
    <t>Stablized</t>
  </si>
  <si>
    <t>Year 1</t>
  </si>
  <si>
    <t>Year 2</t>
  </si>
  <si>
    <t>Year 3</t>
  </si>
  <si>
    <t>Year 4</t>
  </si>
  <si>
    <t>Year 5</t>
  </si>
  <si>
    <t>Year 6</t>
  </si>
  <si>
    <t>Year 7</t>
  </si>
  <si>
    <t>Year 8</t>
  </si>
  <si>
    <t>Year 9</t>
  </si>
  <si>
    <t>Year 10</t>
  </si>
  <si>
    <t>Revenues</t>
  </si>
  <si>
    <t>Rental Income</t>
  </si>
  <si>
    <t>Annual</t>
  </si>
  <si>
    <t>Vacancy/Loss Rate</t>
  </si>
  <si>
    <t>%</t>
  </si>
  <si>
    <t>Vacancy/Loss Value</t>
  </si>
  <si>
    <t>Loss to lease</t>
  </si>
  <si>
    <t>Concessions</t>
  </si>
  <si>
    <t>Units (Employee, Model, Admin)</t>
  </si>
  <si>
    <t>Bad Debt</t>
  </si>
  <si>
    <t>Other Income</t>
  </si>
  <si>
    <t>Gross Income</t>
  </si>
  <si>
    <t>Expenses</t>
  </si>
  <si>
    <t>Payroll</t>
  </si>
  <si>
    <t>Maintenance &amp; Repairs</t>
  </si>
  <si>
    <t>Contract Services</t>
  </si>
  <si>
    <t>Turn/Make Ready</t>
  </si>
  <si>
    <t>Advertising</t>
  </si>
  <si>
    <t>Admin</t>
  </si>
  <si>
    <t>Utilities</t>
  </si>
  <si>
    <t>Mgmt Fee</t>
  </si>
  <si>
    <t>Taxes</t>
  </si>
  <si>
    <t>Insurance</t>
  </si>
  <si>
    <t>Lender Reserves</t>
  </si>
  <si>
    <t>Assest Mgmt Fee</t>
  </si>
  <si>
    <t>Other Expenses</t>
  </si>
  <si>
    <t>Total Expenses</t>
  </si>
  <si>
    <t>Expenses (Incl Vacancy) as % of Gross Income</t>
  </si>
  <si>
    <t>Net Operating Income (NOI)</t>
  </si>
  <si>
    <t>Cash Flow</t>
  </si>
  <si>
    <t>LTV:</t>
  </si>
  <si>
    <t>NOI (Cash Available)</t>
  </si>
  <si>
    <t>Interest Rate:</t>
  </si>
  <si>
    <t>Mortgage</t>
  </si>
  <si>
    <t>Amortization (years)</t>
  </si>
  <si>
    <t>Total Cash Flow</t>
  </si>
  <si>
    <t>Loan term (years)</t>
  </si>
  <si>
    <t>Cash ROI</t>
  </si>
  <si>
    <t>LP/GP Returns</t>
  </si>
  <si>
    <t>LP Equity</t>
  </si>
  <si>
    <t>LP Return</t>
  </si>
  <si>
    <t>Preferred Return</t>
  </si>
  <si>
    <t>GP Return</t>
  </si>
  <si>
    <t>Preferred Return Amount</t>
  </si>
  <si>
    <t>LP CoC Return</t>
  </si>
  <si>
    <t>LP Split after Pref</t>
  </si>
  <si>
    <t>LP IRR</t>
  </si>
  <si>
    <t>GP Split after Pref</t>
  </si>
  <si>
    <t>Equity Accrued</t>
  </si>
  <si>
    <t>Total Return</t>
  </si>
  <si>
    <t>Total ROI</t>
  </si>
  <si>
    <t>Cash Flow / Mortgage Ratio</t>
  </si>
  <si>
    <t>Total Equity Accrued</t>
  </si>
  <si>
    <t>5 Year Overall</t>
  </si>
  <si>
    <t>5 Year LP</t>
  </si>
  <si>
    <t>Equity</t>
  </si>
  <si>
    <t>Equity Due At Sale</t>
  </si>
  <si>
    <t>Equity Remaining</t>
  </si>
  <si>
    <t>Equity to LP</t>
  </si>
  <si>
    <t>Equity Investment</t>
  </si>
  <si>
    <t>Year 0</t>
  </si>
  <si>
    <t>Year 5 + Sales Proceeds</t>
  </si>
  <si>
    <t>Sales Proceeds</t>
  </si>
  <si>
    <t>IRR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</si>
</sst>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quot;$&quot;#,##0.00"/>
    <numFmt numFmtId="166" formatCode="0.0%"/>
    <numFmt numFmtId="167" formatCode="_(* #,##0_);_(* \(#,##0\);_(* &quot;-&quot;??_);_(@_)"/>
  </numFmts>
  <fonts count="22">
    <font>
      <sz val="11"/>
      <color theme="1"/>
      <name val="Calibri"/>
      <family val="2"/>
      <scheme val="minor"/>
    </font>
    <font>
      <sz val="11"/>
      <color theme="1"/>
      <name val="Calibri"/>
      <family val="2"/>
      <scheme val="minor"/>
    </font>
    <font>
      <b/>
      <sz val="8"/>
      <name val="Arial"/>
      <family val="2"/>
    </font>
    <font>
      <sz val="8"/>
      <name val="Arial"/>
      <family val="2"/>
    </font>
    <font>
      <b/>
      <sz val="8"/>
      <color theme="0"/>
      <name val="Arial"/>
      <family val="2"/>
    </font>
    <font>
      <sz val="8"/>
      <color theme="1"/>
      <name val="Arial"/>
      <family val="2"/>
    </font>
    <font>
      <sz val="11"/>
      <color theme="1" tint="0.499984740745262"/>
      <name val="Calibri"/>
      <family val="2"/>
      <scheme val="minor"/>
    </font>
    <font>
      <b/>
      <sz val="8"/>
      <color theme="1"/>
      <name val="Arial"/>
      <family val="2"/>
    </font>
    <font>
      <sz val="8"/>
      <color rgb="FFFF0000"/>
      <name val="Arial"/>
      <family val="2"/>
    </font>
    <font>
      <sz val="10"/>
      <name val="Arial"/>
      <family val="2"/>
    </font>
    <font>
      <b/>
      <sz val="12"/>
      <name val="Arial"/>
      <family val="2"/>
    </font>
    <font>
      <sz val="8"/>
      <color indexed="10"/>
      <name val="Arial"/>
      <family val="2"/>
    </font>
    <font>
      <b/>
      <sz val="8"/>
      <color indexed="8"/>
      <name val="Arial"/>
      <family val="2"/>
    </font>
    <font>
      <sz val="11"/>
      <name val="Calibri"/>
      <family val="2"/>
      <scheme val="minor"/>
    </font>
    <font>
      <b/>
      <sz val="10"/>
      <name val="Arial"/>
      <family val="2"/>
    </font>
    <font>
      <b/>
      <sz val="10"/>
      <color indexed="81"/>
      <name val="Calibri"/>
      <family val="2"/>
    </font>
    <font>
      <sz val="10"/>
      <color indexed="81"/>
      <name val="Calibri"/>
      <family val="2"/>
    </font>
    <font>
      <b/>
      <sz val="10"/>
      <color rgb="FF000000"/>
      <name val="Calibri"/>
      <family val="2"/>
    </font>
    <font>
      <sz val="10"/>
      <color rgb="FF000000"/>
      <name val="Calibri"/>
      <family val="2"/>
    </font>
    <font>
      <sz val="11"/>
      <color rgb="FFFF0000"/>
      <name val="Calibri"/>
      <family val="2"/>
      <scheme val="minor"/>
    </font>
    <font>
      <u/>
      <sz val="11"/>
      <color theme="10"/>
      <name val="Calibri"/>
      <family val="2"/>
      <scheme val="minor"/>
    </font>
    <font>
      <b/>
      <sz val="18"/>
      <color theme="1"/>
      <name val="Times New Roman"/>
      <family val="1"/>
    </font>
  </fonts>
  <fills count="7">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40">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top style="thin">
        <color auto="1"/>
      </top>
      <bottom/>
      <diagonal/>
    </border>
    <border>
      <left/>
      <right/>
      <top style="thin">
        <color auto="1"/>
      </top>
      <bottom/>
      <diagonal/>
    </border>
    <border>
      <left style="medium">
        <color auto="1"/>
      </left>
      <right/>
      <top style="thin">
        <color auto="1"/>
      </top>
      <bottom/>
      <diagonal/>
    </border>
    <border>
      <left/>
      <right style="medium">
        <color auto="1"/>
      </right>
      <top style="thin">
        <color auto="1"/>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245">
    <xf numFmtId="0" fontId="0" fillId="0" borderId="0" xfId="0"/>
    <xf numFmtId="0" fontId="0" fillId="0" borderId="0" xfId="0" applyFill="1"/>
    <xf numFmtId="0" fontId="0" fillId="0" borderId="0" xfId="0" applyFill="1" applyBorder="1"/>
    <xf numFmtId="0" fontId="2" fillId="0" borderId="0" xfId="0" applyFont="1" applyFill="1" applyBorder="1" applyAlignment="1"/>
    <xf numFmtId="0" fontId="3" fillId="0" borderId="0" xfId="0" applyFont="1" applyFill="1" applyBorder="1" applyAlignment="1"/>
    <xf numFmtId="0" fontId="5" fillId="3" borderId="6" xfId="0" applyFont="1" applyFill="1" applyBorder="1"/>
    <xf numFmtId="6" fontId="5" fillId="3" borderId="7" xfId="0" applyNumberFormat="1" applyFont="1" applyFill="1" applyBorder="1"/>
    <xf numFmtId="0" fontId="3" fillId="3" borderId="6" xfId="0" applyFont="1" applyFill="1" applyBorder="1" applyAlignment="1"/>
    <xf numFmtId="0" fontId="5" fillId="3" borderId="8" xfId="0" applyNumberFormat="1" applyFont="1" applyFill="1" applyBorder="1" applyAlignment="1">
      <alignment horizontal="center"/>
    </xf>
    <xf numFmtId="0" fontId="0" fillId="3" borderId="8" xfId="0" applyFill="1" applyBorder="1"/>
    <xf numFmtId="0" fontId="6" fillId="3" borderId="8" xfId="0" applyFont="1" applyFill="1" applyBorder="1"/>
    <xf numFmtId="0" fontId="6" fillId="3" borderId="7" xfId="0" applyFont="1" applyFill="1" applyBorder="1"/>
    <xf numFmtId="5" fontId="3" fillId="3" borderId="7" xfId="0" applyNumberFormat="1" applyFont="1" applyFill="1" applyBorder="1" applyAlignment="1">
      <alignment horizontal="center"/>
    </xf>
    <xf numFmtId="164" fontId="3" fillId="3" borderId="7" xfId="0" applyNumberFormat="1" applyFont="1" applyFill="1" applyBorder="1" applyAlignment="1">
      <alignment horizontal="center"/>
    </xf>
    <xf numFmtId="0" fontId="5" fillId="0" borderId="0" xfId="0" applyFont="1"/>
    <xf numFmtId="0" fontId="5" fillId="0" borderId="0" xfId="0" applyFont="1" applyFill="1"/>
    <xf numFmtId="0" fontId="2" fillId="3" borderId="6" xfId="0" applyFont="1" applyFill="1" applyBorder="1" applyAlignment="1">
      <alignment horizontal="center"/>
    </xf>
    <xf numFmtId="0" fontId="2" fillId="3" borderId="8" xfId="0" applyFont="1" applyFill="1" applyBorder="1" applyAlignment="1">
      <alignment horizontal="center"/>
    </xf>
    <xf numFmtId="0" fontId="2" fillId="3" borderId="7" xfId="0" applyFont="1" applyFill="1" applyBorder="1" applyAlignment="1">
      <alignment horizontal="center"/>
    </xf>
    <xf numFmtId="10" fontId="3" fillId="3" borderId="7" xfId="0" applyNumberFormat="1" applyFont="1" applyFill="1" applyBorder="1" applyAlignment="1">
      <alignment horizontal="center"/>
    </xf>
    <xf numFmtId="10" fontId="5" fillId="3" borderId="7" xfId="3" applyNumberFormat="1" applyFont="1" applyFill="1" applyBorder="1" applyAlignment="1">
      <alignment horizontal="center"/>
    </xf>
    <xf numFmtId="0" fontId="7" fillId="3" borderId="9" xfId="0" applyFont="1" applyFill="1" applyBorder="1"/>
    <xf numFmtId="6" fontId="7" fillId="3" borderId="10" xfId="0" applyNumberFormat="1" applyFont="1" applyFill="1" applyBorder="1"/>
    <xf numFmtId="164" fontId="5" fillId="3" borderId="7" xfId="0" applyNumberFormat="1" applyFont="1" applyFill="1" applyBorder="1" applyAlignment="1">
      <alignment horizontal="center"/>
    </xf>
    <xf numFmtId="165" fontId="3" fillId="3" borderId="7" xfId="0" applyNumberFormat="1" applyFont="1" applyFill="1" applyBorder="1" applyAlignment="1">
      <alignment horizontal="center"/>
    </xf>
    <xf numFmtId="0" fontId="3" fillId="3" borderId="11" xfId="0" applyFont="1" applyFill="1" applyBorder="1" applyAlignment="1"/>
    <xf numFmtId="10" fontId="3" fillId="3" borderId="12" xfId="0" applyNumberFormat="1" applyFont="1" applyFill="1" applyBorder="1" applyAlignment="1">
      <alignment horizontal="center"/>
    </xf>
    <xf numFmtId="0" fontId="3" fillId="3" borderId="13" xfId="0" applyFont="1" applyFill="1" applyBorder="1" applyAlignment="1"/>
    <xf numFmtId="10" fontId="3" fillId="3" borderId="2" xfId="0" applyNumberFormat="1" applyFont="1" applyFill="1" applyBorder="1" applyAlignment="1">
      <alignment horizontal="center"/>
    </xf>
    <xf numFmtId="0" fontId="3" fillId="3" borderId="9" xfId="0" applyFont="1" applyFill="1" applyBorder="1" applyAlignment="1"/>
    <xf numFmtId="164" fontId="3" fillId="3" borderId="10" xfId="0" applyNumberFormat="1" applyFont="1" applyFill="1" applyBorder="1" applyAlignment="1">
      <alignment horizontal="center"/>
    </xf>
    <xf numFmtId="0" fontId="3" fillId="3" borderId="9" xfId="0" applyFont="1" applyFill="1" applyBorder="1" applyAlignment="1">
      <alignment horizontal="left"/>
    </xf>
    <xf numFmtId="10" fontId="3" fillId="3" borderId="10" xfId="0" applyNumberFormat="1" applyFont="1" applyFill="1" applyBorder="1" applyAlignment="1">
      <alignment horizontal="center"/>
    </xf>
    <xf numFmtId="0" fontId="0" fillId="3" borderId="9" xfId="0" applyFill="1" applyBorder="1"/>
    <xf numFmtId="0" fontId="2" fillId="3" borderId="14" xfId="0" applyFont="1" applyFill="1" applyBorder="1" applyAlignment="1"/>
    <xf numFmtId="165" fontId="2" fillId="3" borderId="14" xfId="0" applyNumberFormat="1" applyFont="1" applyFill="1" applyBorder="1" applyAlignment="1">
      <alignment horizontal="center"/>
    </xf>
    <xf numFmtId="165" fontId="3" fillId="3" borderId="10" xfId="0" applyNumberFormat="1" applyFont="1" applyFill="1" applyBorder="1"/>
    <xf numFmtId="5" fontId="2" fillId="0" borderId="0" xfId="0" applyNumberFormat="1" applyFont="1" applyFill="1" applyBorder="1"/>
    <xf numFmtId="9" fontId="8" fillId="0" borderId="0" xfId="0" applyNumberFormat="1" applyFont="1" applyFill="1" applyBorder="1" applyProtection="1">
      <protection locked="0"/>
    </xf>
    <xf numFmtId="0" fontId="6" fillId="0" borderId="0" xfId="0" applyFont="1" applyFill="1" applyBorder="1"/>
    <xf numFmtId="6" fontId="8" fillId="0" borderId="0" xfId="0" applyNumberFormat="1" applyFont="1" applyFill="1" applyBorder="1"/>
    <xf numFmtId="0" fontId="2" fillId="0" borderId="0" xfId="0" applyFont="1" applyFill="1" applyBorder="1" applyAlignment="1">
      <alignment horizontal="left"/>
    </xf>
    <xf numFmtId="0" fontId="3" fillId="0" borderId="0" xfId="0" applyFont="1" applyFill="1" applyBorder="1" applyAlignment="1">
      <alignment horizontal="left"/>
    </xf>
    <xf numFmtId="6" fontId="8" fillId="0" borderId="0" xfId="0" applyNumberFormat="1" applyFont="1" applyBorder="1"/>
    <xf numFmtId="0" fontId="2" fillId="0" borderId="0" xfId="0" applyFont="1" applyBorder="1" applyAlignment="1">
      <alignment horizontal="left"/>
    </xf>
    <xf numFmtId="5" fontId="2" fillId="0" borderId="0" xfId="0" applyNumberFormat="1" applyFont="1" applyBorder="1"/>
    <xf numFmtId="164" fontId="5" fillId="0" borderId="0" xfId="0" applyNumberFormat="1" applyFont="1" applyFill="1" applyBorder="1"/>
    <xf numFmtId="6" fontId="2" fillId="0" borderId="0" xfId="0" applyNumberFormat="1" applyFont="1" applyBorder="1"/>
    <xf numFmtId="1" fontId="9" fillId="0" borderId="0" xfId="0" applyNumberFormat="1" applyFont="1" applyFill="1" applyBorder="1"/>
    <xf numFmtId="0" fontId="2" fillId="0" borderId="0" xfId="0" applyFont="1" applyBorder="1" applyAlignment="1">
      <alignment horizontal="left" indent="1"/>
    </xf>
    <xf numFmtId="6" fontId="2" fillId="0" borderId="0" xfId="0" applyNumberFormat="1" applyFont="1" applyFill="1" applyBorder="1"/>
    <xf numFmtId="0" fontId="10" fillId="0" borderId="0" xfId="0" applyFont="1" applyFill="1" applyBorder="1" applyAlignment="1">
      <alignment vertical="center"/>
    </xf>
    <xf numFmtId="0" fontId="3" fillId="0" borderId="0" xfId="0" applyFont="1"/>
    <xf numFmtId="0" fontId="2" fillId="0" borderId="0" xfId="0" applyFont="1" applyFill="1" applyBorder="1" applyAlignment="1">
      <alignment horizontal="center"/>
    </xf>
    <xf numFmtId="166" fontId="3" fillId="0" borderId="0" xfId="0" applyNumberFormat="1" applyFont="1" applyFill="1" applyBorder="1"/>
    <xf numFmtId="0" fontId="3" fillId="3" borderId="21" xfId="0" applyFont="1" applyFill="1" applyBorder="1"/>
    <xf numFmtId="0" fontId="3" fillId="3" borderId="22" xfId="0" applyFont="1" applyFill="1" applyBorder="1"/>
    <xf numFmtId="166" fontId="3" fillId="4" borderId="23" xfId="0" applyNumberFormat="1" applyFont="1" applyFill="1" applyBorder="1"/>
    <xf numFmtId="166" fontId="3" fillId="4" borderId="24" xfId="0" applyNumberFormat="1" applyFont="1" applyFill="1" applyBorder="1"/>
    <xf numFmtId="166" fontId="3" fillId="4" borderId="25" xfId="0" applyNumberFormat="1" applyFont="1" applyFill="1" applyBorder="1"/>
    <xf numFmtId="166" fontId="3" fillId="3" borderId="22" xfId="0" applyNumberFormat="1" applyFont="1" applyFill="1" applyBorder="1"/>
    <xf numFmtId="166" fontId="3" fillId="3" borderId="26" xfId="0" applyNumberFormat="1" applyFont="1" applyFill="1" applyBorder="1"/>
    <xf numFmtId="0" fontId="3" fillId="0" borderId="0" xfId="0" applyFont="1" applyBorder="1"/>
    <xf numFmtId="166" fontId="3" fillId="4" borderId="27" xfId="0" applyNumberFormat="1" applyFont="1" applyFill="1" applyBorder="1"/>
    <xf numFmtId="166" fontId="3" fillId="4" borderId="22" xfId="0" applyNumberFormat="1" applyFont="1" applyFill="1" applyBorder="1"/>
    <xf numFmtId="166" fontId="3" fillId="4" borderId="28" xfId="0" applyNumberFormat="1" applyFont="1" applyFill="1" applyBorder="1"/>
    <xf numFmtId="166" fontId="11" fillId="0" borderId="0" xfId="0" applyNumberFormat="1" applyFont="1" applyFill="1" applyBorder="1"/>
    <xf numFmtId="0" fontId="3" fillId="0" borderId="0" xfId="0" applyFont="1" applyFill="1" applyBorder="1"/>
    <xf numFmtId="166" fontId="11" fillId="4" borderId="29" xfId="0" applyNumberFormat="1" applyFont="1" applyFill="1" applyBorder="1"/>
    <xf numFmtId="166" fontId="11" fillId="4" borderId="0" xfId="0" applyNumberFormat="1" applyFont="1" applyFill="1" applyBorder="1"/>
    <xf numFmtId="166" fontId="11" fillId="4" borderId="30" xfId="0" applyNumberFormat="1" applyFont="1" applyFill="1" applyBorder="1"/>
    <xf numFmtId="0" fontId="2" fillId="5" borderId="0" xfId="0" applyFont="1" applyFill="1" applyBorder="1" applyAlignment="1">
      <alignment horizontal="center"/>
    </xf>
    <xf numFmtId="166" fontId="2" fillId="5" borderId="0" xfId="0" applyNumberFormat="1" applyFont="1" applyFill="1" applyBorder="1" applyAlignment="1">
      <alignment horizontal="center"/>
    </xf>
    <xf numFmtId="0" fontId="2" fillId="4" borderId="29" xfId="0" applyFont="1" applyFill="1" applyBorder="1" applyAlignment="1">
      <alignment horizontal="center"/>
    </xf>
    <xf numFmtId="0" fontId="2" fillId="4" borderId="0" xfId="0" applyFont="1" applyFill="1" applyBorder="1" applyAlignment="1">
      <alignment horizontal="center"/>
    </xf>
    <xf numFmtId="0" fontId="2" fillId="4" borderId="30" xfId="0" applyFont="1" applyFill="1" applyBorder="1" applyAlignment="1">
      <alignment horizontal="center"/>
    </xf>
    <xf numFmtId="0" fontId="12" fillId="2" borderId="31" xfId="0" applyFont="1" applyFill="1" applyBorder="1"/>
    <xf numFmtId="0" fontId="3" fillId="2" borderId="32" xfId="0" applyFont="1" applyFill="1" applyBorder="1"/>
    <xf numFmtId="0" fontId="3" fillId="4" borderId="33" xfId="0" applyFont="1" applyFill="1" applyBorder="1"/>
    <xf numFmtId="0" fontId="3" fillId="4" borderId="32" xfId="0" applyFont="1" applyFill="1" applyBorder="1"/>
    <xf numFmtId="0" fontId="3" fillId="4" borderId="34" xfId="0" applyFont="1" applyFill="1" applyBorder="1"/>
    <xf numFmtId="0" fontId="0" fillId="2" borderId="32" xfId="0" applyFill="1" applyBorder="1"/>
    <xf numFmtId="0" fontId="0" fillId="2" borderId="35" xfId="0" applyFill="1" applyBorder="1"/>
    <xf numFmtId="37" fontId="3" fillId="0" borderId="0" xfId="0" applyNumberFormat="1" applyFont="1" applyFill="1" applyBorder="1"/>
    <xf numFmtId="0" fontId="13" fillId="0" borderId="0" xfId="0" applyFont="1"/>
    <xf numFmtId="37" fontId="3" fillId="3" borderId="0" xfId="0" applyNumberFormat="1" applyFont="1" applyFill="1" applyBorder="1"/>
    <xf numFmtId="37" fontId="3" fillId="4" borderId="29" xfId="0" applyNumberFormat="1" applyFont="1" applyFill="1" applyBorder="1"/>
    <xf numFmtId="37" fontId="3" fillId="4" borderId="0" xfId="0" applyNumberFormat="1" applyFont="1" applyFill="1" applyBorder="1"/>
    <xf numFmtId="37" fontId="3" fillId="4" borderId="30" xfId="0" applyNumberFormat="1" applyFont="1" applyFill="1" applyBorder="1"/>
    <xf numFmtId="37" fontId="3" fillId="3" borderId="37" xfId="0" applyNumberFormat="1" applyFont="1" applyFill="1" applyBorder="1"/>
    <xf numFmtId="0" fontId="13" fillId="0" borderId="0" xfId="0" applyFont="1" applyFill="1" applyBorder="1"/>
    <xf numFmtId="0" fontId="13" fillId="0" borderId="0" xfId="0" applyFont="1" applyFill="1"/>
    <xf numFmtId="166" fontId="3" fillId="3" borderId="0" xfId="3" applyNumberFormat="1" applyFont="1" applyFill="1" applyBorder="1"/>
    <xf numFmtId="166" fontId="3" fillId="3" borderId="0" xfId="0" applyNumberFormat="1" applyFont="1" applyFill="1" applyBorder="1"/>
    <xf numFmtId="166" fontId="3" fillId="4" borderId="0" xfId="0" applyNumberFormat="1" applyFont="1" applyFill="1" applyBorder="1"/>
    <xf numFmtId="166" fontId="3" fillId="4" borderId="30" xfId="0" applyNumberFormat="1" applyFont="1" applyFill="1" applyBorder="1"/>
    <xf numFmtId="166" fontId="3" fillId="3" borderId="37" xfId="0" applyNumberFormat="1" applyFont="1" applyFill="1" applyBorder="1"/>
    <xf numFmtId="37" fontId="2" fillId="0" borderId="0" xfId="0" applyNumberFormat="1" applyFont="1" applyFill="1" applyBorder="1"/>
    <xf numFmtId="37" fontId="3" fillId="3" borderId="24" xfId="0" applyNumberFormat="1" applyFont="1" applyFill="1" applyBorder="1"/>
    <xf numFmtId="37" fontId="2" fillId="3" borderId="24" xfId="0" applyNumberFormat="1" applyFont="1" applyFill="1" applyBorder="1"/>
    <xf numFmtId="37" fontId="2" fillId="4" borderId="23" xfId="0" applyNumberFormat="1" applyFont="1" applyFill="1" applyBorder="1"/>
    <xf numFmtId="37" fontId="2" fillId="4" borderId="24" xfId="0" applyNumberFormat="1" applyFont="1" applyFill="1" applyBorder="1"/>
    <xf numFmtId="37" fontId="2" fillId="4" borderId="25" xfId="0" applyNumberFormat="1" applyFont="1" applyFill="1" applyBorder="1"/>
    <xf numFmtId="37" fontId="2" fillId="3" borderId="39" xfId="0" applyNumberFormat="1" applyFont="1" applyFill="1" applyBorder="1"/>
    <xf numFmtId="0" fontId="3" fillId="4" borderId="0" xfId="0" applyFont="1" applyFill="1" applyBorder="1"/>
    <xf numFmtId="0" fontId="3" fillId="4" borderId="30" xfId="0" applyFont="1" applyFill="1" applyBorder="1"/>
    <xf numFmtId="37" fontId="3" fillId="4" borderId="33" xfId="0" applyNumberFormat="1" applyFont="1" applyFill="1" applyBorder="1"/>
    <xf numFmtId="37" fontId="3" fillId="4" borderId="32" xfId="0" applyNumberFormat="1" applyFont="1" applyFill="1" applyBorder="1"/>
    <xf numFmtId="37" fontId="2" fillId="3" borderId="0" xfId="0" applyNumberFormat="1" applyFont="1" applyFill="1" applyBorder="1"/>
    <xf numFmtId="37" fontId="2" fillId="4" borderId="29" xfId="0" applyNumberFormat="1" applyFont="1" applyFill="1" applyBorder="1"/>
    <xf numFmtId="37" fontId="2" fillId="4" borderId="0" xfId="0" applyNumberFormat="1" applyFont="1" applyFill="1" applyBorder="1"/>
    <xf numFmtId="37" fontId="2" fillId="4" borderId="30" xfId="0" applyNumberFormat="1" applyFont="1" applyFill="1" applyBorder="1"/>
    <xf numFmtId="37" fontId="2" fillId="3" borderId="37" xfId="0" applyNumberFormat="1" applyFont="1" applyFill="1" applyBorder="1"/>
    <xf numFmtId="0" fontId="3" fillId="3" borderId="38" xfId="0" applyFont="1" applyFill="1" applyBorder="1"/>
    <xf numFmtId="0" fontId="3" fillId="3" borderId="24" xfId="0" applyFont="1" applyFill="1" applyBorder="1"/>
    <xf numFmtId="166" fontId="3" fillId="3" borderId="24" xfId="0" applyNumberFormat="1" applyFont="1" applyFill="1" applyBorder="1"/>
    <xf numFmtId="166" fontId="3" fillId="4" borderId="23" xfId="3" applyNumberFormat="1" applyFont="1" applyFill="1" applyBorder="1"/>
    <xf numFmtId="166" fontId="3" fillId="3" borderId="39" xfId="0" applyNumberFormat="1" applyFont="1" applyFill="1" applyBorder="1"/>
    <xf numFmtId="0" fontId="2" fillId="2" borderId="21" xfId="0" applyFont="1" applyFill="1" applyBorder="1"/>
    <xf numFmtId="0" fontId="3" fillId="2" borderId="22" xfId="0" applyFont="1" applyFill="1" applyBorder="1"/>
    <xf numFmtId="0" fontId="2" fillId="2" borderId="22" xfId="0" applyFont="1" applyFill="1" applyBorder="1"/>
    <xf numFmtId="164" fontId="2" fillId="2" borderId="22" xfId="0" applyNumberFormat="1" applyFont="1" applyFill="1" applyBorder="1"/>
    <xf numFmtId="37" fontId="2" fillId="2" borderId="22" xfId="0" applyNumberFormat="1" applyFont="1" applyFill="1" applyBorder="1"/>
    <xf numFmtId="37" fontId="2" fillId="4" borderId="27" xfId="0" applyNumberFormat="1" applyFont="1" applyFill="1" applyBorder="1"/>
    <xf numFmtId="37" fontId="2" fillId="4" borderId="22" xfId="0" applyNumberFormat="1" applyFont="1" applyFill="1" applyBorder="1"/>
    <xf numFmtId="37" fontId="2" fillId="4" borderId="28" xfId="0" applyNumberFormat="1" applyFont="1" applyFill="1" applyBorder="1"/>
    <xf numFmtId="37" fontId="2" fillId="2" borderId="26" xfId="0" applyNumberFormat="1" applyFont="1" applyFill="1" applyBorder="1"/>
    <xf numFmtId="0" fontId="0" fillId="4" borderId="0" xfId="0" applyFill="1" applyBorder="1"/>
    <xf numFmtId="0" fontId="0" fillId="4" borderId="30" xfId="0" applyFill="1" applyBorder="1"/>
    <xf numFmtId="0" fontId="14" fillId="3" borderId="0" xfId="0" applyFont="1" applyFill="1" applyBorder="1"/>
    <xf numFmtId="10" fontId="2" fillId="0" borderId="0" xfId="0" applyNumberFormat="1" applyFont="1" applyFill="1" applyBorder="1"/>
    <xf numFmtId="9" fontId="2" fillId="3" borderId="24" xfId="3" applyFont="1" applyFill="1" applyBorder="1"/>
    <xf numFmtId="166" fontId="2" fillId="4" borderId="23" xfId="3" applyNumberFormat="1" applyFont="1" applyFill="1" applyBorder="1"/>
    <xf numFmtId="166" fontId="2" fillId="4" borderId="24" xfId="3" applyNumberFormat="1" applyFont="1" applyFill="1" applyBorder="1"/>
    <xf numFmtId="10" fontId="2" fillId="4" borderId="24" xfId="0" applyNumberFormat="1" applyFont="1" applyFill="1" applyBorder="1"/>
    <xf numFmtId="10" fontId="2" fillId="4" borderId="25" xfId="0" applyNumberFormat="1" applyFont="1" applyFill="1" applyBorder="1"/>
    <xf numFmtId="10" fontId="2" fillId="3" borderId="24" xfId="0" applyNumberFormat="1" applyFont="1" applyFill="1" applyBorder="1"/>
    <xf numFmtId="10" fontId="2" fillId="3" borderId="39" xfId="0" applyNumberFormat="1" applyFont="1" applyFill="1" applyBorder="1"/>
    <xf numFmtId="0" fontId="2" fillId="0" borderId="0" xfId="0" applyFont="1" applyFill="1" applyBorder="1" applyAlignment="1">
      <alignment horizontal="left" indent="1"/>
    </xf>
    <xf numFmtId="0" fontId="14" fillId="0" borderId="0" xfId="0" applyFont="1" applyFill="1" applyBorder="1"/>
    <xf numFmtId="10" fontId="2" fillId="4" borderId="29" xfId="0" applyNumberFormat="1" applyFont="1" applyFill="1" applyBorder="1"/>
    <xf numFmtId="10" fontId="2" fillId="4" borderId="0" xfId="0" applyNumberFormat="1" applyFont="1" applyFill="1" applyBorder="1"/>
    <xf numFmtId="10" fontId="2" fillId="4" borderId="30" xfId="0" applyNumberFormat="1" applyFont="1" applyFill="1" applyBorder="1"/>
    <xf numFmtId="0" fontId="3" fillId="2" borderId="0" xfId="0" applyFont="1" applyFill="1" applyBorder="1"/>
    <xf numFmtId="0" fontId="3" fillId="4" borderId="29" xfId="0" applyFont="1" applyFill="1" applyBorder="1"/>
    <xf numFmtId="0" fontId="0" fillId="2" borderId="0" xfId="0" applyFill="1" applyBorder="1"/>
    <xf numFmtId="167" fontId="3" fillId="0" borderId="0" xfId="1" applyNumberFormat="1" applyFont="1" applyFill="1" applyBorder="1"/>
    <xf numFmtId="0" fontId="0" fillId="3" borderId="0" xfId="0" applyFill="1" applyBorder="1"/>
    <xf numFmtId="166" fontId="3" fillId="0" borderId="0" xfId="3" applyNumberFormat="1" applyFont="1" applyFill="1" applyBorder="1"/>
    <xf numFmtId="166" fontId="3" fillId="4" borderId="29" xfId="3" applyNumberFormat="1" applyFont="1" applyFill="1" applyBorder="1"/>
    <xf numFmtId="166" fontId="3" fillId="4" borderId="0" xfId="3" applyNumberFormat="1" applyFont="1" applyFill="1" applyBorder="1"/>
    <xf numFmtId="166" fontId="3" fillId="4" borderId="30" xfId="3" applyNumberFormat="1" applyFont="1" applyFill="1" applyBorder="1"/>
    <xf numFmtId="9" fontId="3" fillId="0" borderId="0" xfId="3" applyFont="1" applyFill="1" applyBorder="1"/>
    <xf numFmtId="44" fontId="0" fillId="0" borderId="0" xfId="2" applyFont="1" applyFill="1" applyBorder="1"/>
    <xf numFmtId="9" fontId="3" fillId="4" borderId="30" xfId="0" applyNumberFormat="1" applyFont="1" applyFill="1" applyBorder="1"/>
    <xf numFmtId="3" fontId="3" fillId="0" borderId="0" xfId="0" applyNumberFormat="1" applyFont="1" applyFill="1" applyBorder="1"/>
    <xf numFmtId="0" fontId="3" fillId="3" borderId="0" xfId="0" applyFont="1" applyFill="1" applyBorder="1" applyAlignment="1">
      <alignment horizontal="center"/>
    </xf>
    <xf numFmtId="3" fontId="3" fillId="4" borderId="29" xfId="0" applyNumberFormat="1" applyFont="1" applyFill="1" applyBorder="1"/>
    <xf numFmtId="3" fontId="3" fillId="4" borderId="0" xfId="0" applyNumberFormat="1" applyFont="1" applyFill="1" applyBorder="1"/>
    <xf numFmtId="3" fontId="3" fillId="4" borderId="30" xfId="0" applyNumberFormat="1" applyFont="1" applyFill="1" applyBorder="1"/>
    <xf numFmtId="3" fontId="3" fillId="3" borderId="0" xfId="0" applyNumberFormat="1" applyFont="1" applyFill="1" applyBorder="1"/>
    <xf numFmtId="37" fontId="0" fillId="0" borderId="0" xfId="0" applyNumberFormat="1" applyFill="1" applyBorder="1"/>
    <xf numFmtId="37" fontId="0" fillId="4" borderId="29" xfId="0" applyNumberFormat="1" applyFill="1" applyBorder="1"/>
    <xf numFmtId="37" fontId="0" fillId="4" borderId="0" xfId="0" applyNumberFormat="1" applyFill="1" applyBorder="1"/>
    <xf numFmtId="37" fontId="0" fillId="4" borderId="30" xfId="0" applyNumberFormat="1" applyFill="1" applyBorder="1"/>
    <xf numFmtId="9" fontId="2" fillId="0" borderId="0" xfId="0" applyNumberFormat="1" applyFont="1" applyFill="1" applyBorder="1"/>
    <xf numFmtId="0" fontId="4" fillId="2" borderId="0" xfId="0" applyFont="1" applyFill="1" applyBorder="1"/>
    <xf numFmtId="9" fontId="7" fillId="4" borderId="29" xfId="0" applyNumberFormat="1" applyFont="1" applyFill="1" applyBorder="1"/>
    <xf numFmtId="9" fontId="7" fillId="4" borderId="0" xfId="0" applyNumberFormat="1" applyFont="1" applyFill="1" applyBorder="1"/>
    <xf numFmtId="9" fontId="7" fillId="4" borderId="30" xfId="0" applyNumberFormat="1" applyFont="1" applyFill="1" applyBorder="1"/>
    <xf numFmtId="9" fontId="4" fillId="2" borderId="0" xfId="0" applyNumberFormat="1" applyFont="1" applyFill="1" applyBorder="1"/>
    <xf numFmtId="3" fontId="3" fillId="0" borderId="0" xfId="0" applyNumberFormat="1" applyFont="1" applyFill="1"/>
    <xf numFmtId="3" fontId="3" fillId="4" borderId="18" xfId="0" applyNumberFormat="1" applyFont="1" applyFill="1" applyBorder="1"/>
    <xf numFmtId="3" fontId="3" fillId="4" borderId="19" xfId="0" applyNumberFormat="1" applyFont="1" applyFill="1" applyBorder="1"/>
    <xf numFmtId="3" fontId="3" fillId="4" borderId="20" xfId="0" applyNumberFormat="1" applyFont="1" applyFill="1" applyBorder="1"/>
    <xf numFmtId="9" fontId="0" fillId="0" borderId="0" xfId="0" applyNumberFormat="1"/>
    <xf numFmtId="6" fontId="8" fillId="3" borderId="7" xfId="0" applyNumberFormat="1" applyFont="1" applyFill="1" applyBorder="1" applyProtection="1"/>
    <xf numFmtId="6" fontId="8" fillId="3" borderId="7" xfId="0" applyNumberFormat="1" applyFont="1" applyFill="1" applyBorder="1"/>
    <xf numFmtId="8" fontId="8" fillId="3" borderId="7" xfId="0" applyNumberFormat="1" applyFont="1" applyFill="1" applyBorder="1"/>
    <xf numFmtId="0" fontId="8" fillId="3" borderId="6" xfId="0" applyFont="1" applyFill="1" applyBorder="1" applyAlignment="1">
      <alignment horizontal="center"/>
    </xf>
    <xf numFmtId="0" fontId="8" fillId="3" borderId="8" xfId="0" applyFont="1" applyFill="1" applyBorder="1" applyAlignment="1">
      <alignment horizontal="center"/>
    </xf>
    <xf numFmtId="164" fontId="8" fillId="3" borderId="8" xfId="0" applyNumberFormat="1" applyFont="1" applyFill="1" applyBorder="1" applyAlignment="1" applyProtection="1">
      <alignment horizontal="center"/>
      <protection locked="0"/>
    </xf>
    <xf numFmtId="164" fontId="8" fillId="3" borderId="8" xfId="0" applyNumberFormat="1" applyFont="1" applyFill="1" applyBorder="1" applyAlignment="1">
      <alignment horizontal="center"/>
    </xf>
    <xf numFmtId="9" fontId="8" fillId="3" borderId="22" xfId="0" applyNumberFormat="1" applyFont="1" applyFill="1" applyBorder="1" applyProtection="1">
      <protection locked="0"/>
    </xf>
    <xf numFmtId="37" fontId="8" fillId="3" borderId="0" xfId="0" applyNumberFormat="1" applyFont="1" applyFill="1" applyBorder="1"/>
    <xf numFmtId="166" fontId="8" fillId="3" borderId="0" xfId="3" applyNumberFormat="1" applyFont="1" applyFill="1" applyBorder="1"/>
    <xf numFmtId="166" fontId="8" fillId="3" borderId="0" xfId="0" applyNumberFormat="1" applyFont="1" applyFill="1" applyBorder="1"/>
    <xf numFmtId="9" fontId="8" fillId="3" borderId="0" xfId="3" applyFont="1" applyFill="1" applyBorder="1"/>
    <xf numFmtId="166" fontId="8" fillId="4" borderId="29" xfId="3" applyNumberFormat="1" applyFont="1" applyFill="1" applyBorder="1"/>
    <xf numFmtId="0" fontId="3" fillId="3" borderId="15" xfId="0" applyFont="1" applyFill="1" applyBorder="1"/>
    <xf numFmtId="9" fontId="8" fillId="3" borderId="17" xfId="0" applyNumberFormat="1" applyFont="1" applyFill="1" applyBorder="1" applyAlignment="1">
      <alignment horizontal="left"/>
    </xf>
    <xf numFmtId="0" fontId="5" fillId="3" borderId="29" xfId="0" applyFont="1" applyFill="1" applyBorder="1"/>
    <xf numFmtId="10" fontId="8" fillId="3" borderId="30" xfId="0" applyNumberFormat="1" applyFont="1" applyFill="1" applyBorder="1" applyAlignment="1">
      <alignment horizontal="left"/>
    </xf>
    <xf numFmtId="1" fontId="8" fillId="3" borderId="30" xfId="0" applyNumberFormat="1" applyFont="1" applyFill="1" applyBorder="1" applyAlignment="1">
      <alignment horizontal="left"/>
    </xf>
    <xf numFmtId="0" fontId="5" fillId="3" borderId="18" xfId="0" applyFont="1" applyFill="1" applyBorder="1"/>
    <xf numFmtId="0" fontId="8" fillId="3" borderId="20" xfId="0" applyFont="1" applyFill="1" applyBorder="1" applyAlignment="1">
      <alignment horizontal="left"/>
    </xf>
    <xf numFmtId="0" fontId="5" fillId="3" borderId="15" xfId="0" applyFont="1" applyFill="1" applyBorder="1"/>
    <xf numFmtId="6" fontId="5" fillId="3" borderId="17" xfId="0" applyNumberFormat="1" applyFont="1" applyFill="1" applyBorder="1" applyAlignment="1">
      <alignment horizontal="left"/>
    </xf>
    <xf numFmtId="9" fontId="8" fillId="3" borderId="30" xfId="0" applyNumberFormat="1" applyFont="1" applyFill="1" applyBorder="1" applyAlignment="1">
      <alignment horizontal="left"/>
    </xf>
    <xf numFmtId="6" fontId="5" fillId="3" borderId="30" xfId="0" applyNumberFormat="1" applyFont="1" applyFill="1" applyBorder="1" applyAlignment="1">
      <alignment horizontal="left"/>
    </xf>
    <xf numFmtId="9" fontId="5" fillId="3" borderId="20" xfId="0" applyNumberFormat="1" applyFont="1" applyFill="1" applyBorder="1" applyAlignment="1">
      <alignment horizontal="left"/>
    </xf>
    <xf numFmtId="10" fontId="2" fillId="4" borderId="29" xfId="3" applyNumberFormat="1" applyFont="1" applyFill="1" applyBorder="1"/>
    <xf numFmtId="10" fontId="2" fillId="4" borderId="0" xfId="3" applyNumberFormat="1" applyFont="1" applyFill="1" applyBorder="1"/>
    <xf numFmtId="10" fontId="2" fillId="4" borderId="30" xfId="3" applyNumberFormat="1" applyFont="1" applyFill="1" applyBorder="1"/>
    <xf numFmtId="10" fontId="2" fillId="3" borderId="0" xfId="3" applyNumberFormat="1" applyFont="1" applyFill="1" applyBorder="1"/>
    <xf numFmtId="6" fontId="0" fillId="0" borderId="0" xfId="0" applyNumberFormat="1"/>
    <xf numFmtId="37" fontId="0" fillId="0" borderId="0" xfId="0" applyNumberFormat="1"/>
    <xf numFmtId="8" fontId="0" fillId="0" borderId="0" xfId="0" applyNumberFormat="1"/>
    <xf numFmtId="0" fontId="1" fillId="6" borderId="8" xfId="0" applyFont="1" applyFill="1" applyBorder="1" applyAlignment="1">
      <alignment wrapText="1"/>
    </xf>
    <xf numFmtId="0" fontId="20" fillId="6" borderId="8" xfId="4" applyFont="1" applyFill="1" applyBorder="1" applyAlignment="1">
      <alignment wrapText="1"/>
    </xf>
    <xf numFmtId="0" fontId="0" fillId="6" borderId="8" xfId="0" applyFont="1" applyFill="1" applyBorder="1" applyAlignment="1">
      <alignment wrapText="1"/>
    </xf>
    <xf numFmtId="0" fontId="21" fillId="2" borderId="8" xfId="0" applyFont="1" applyFill="1" applyBorder="1" applyAlignment="1">
      <alignment horizontal="center" wrapText="1"/>
    </xf>
    <xf numFmtId="0" fontId="0" fillId="0" borderId="0" xfId="0" applyFill="1" applyAlignment="1"/>
    <xf numFmtId="0" fontId="3" fillId="3" borderId="36" xfId="0" applyFont="1" applyFill="1" applyBorder="1" applyAlignment="1">
      <alignment horizontal="left" indent="1"/>
    </xf>
    <xf numFmtId="0" fontId="3" fillId="3" borderId="0" xfId="0" applyFont="1" applyFill="1" applyBorder="1" applyAlignment="1">
      <alignment horizontal="left" indent="1"/>
    </xf>
    <xf numFmtId="0" fontId="2" fillId="3" borderId="0" xfId="0" applyFont="1" applyFill="1" applyBorder="1" applyAlignment="1">
      <alignment horizontal="left" indent="1"/>
    </xf>
    <xf numFmtId="0" fontId="3" fillId="3" borderId="0" xfId="0" applyFont="1" applyFill="1" applyBorder="1"/>
    <xf numFmtId="0" fontId="2" fillId="3" borderId="24" xfId="0" applyFont="1" applyFill="1" applyBorder="1" applyAlignment="1">
      <alignment horizontal="left" indent="1"/>
    </xf>
    <xf numFmtId="0" fontId="20" fillId="0" borderId="0" xfId="4" applyAlignment="1">
      <alignment horizontal="left"/>
    </xf>
    <xf numFmtId="0" fontId="19" fillId="0" borderId="0" xfId="0" applyFont="1" applyFill="1" applyAlignment="1">
      <alignment horizontal="center"/>
    </xf>
    <xf numFmtId="0" fontId="3" fillId="3" borderId="0" xfId="0" applyFont="1" applyFill="1" applyBorder="1" applyAlignment="1">
      <alignment horizontal="left"/>
    </xf>
    <xf numFmtId="0" fontId="3" fillId="3" borderId="36" xfId="0" applyFont="1" applyFill="1" applyBorder="1" applyAlignment="1">
      <alignment horizontal="left" indent="1"/>
    </xf>
    <xf numFmtId="0" fontId="3" fillId="3" borderId="0" xfId="0" applyFont="1" applyFill="1" applyBorder="1" applyAlignment="1">
      <alignment horizontal="left" indent="1"/>
    </xf>
    <xf numFmtId="0" fontId="2" fillId="3" borderId="38" xfId="0" applyFont="1" applyFill="1" applyBorder="1" applyAlignment="1">
      <alignment horizontal="left" indent="1"/>
    </xf>
    <xf numFmtId="0" fontId="2" fillId="3" borderId="24" xfId="0" applyFont="1" applyFill="1" applyBorder="1" applyAlignment="1">
      <alignment horizontal="left" indent="1"/>
    </xf>
    <xf numFmtId="0" fontId="4" fillId="2" borderId="1" xfId="0" applyFont="1" applyFill="1" applyBorder="1" applyAlignment="1">
      <alignment horizontal="center"/>
    </xf>
    <xf numFmtId="0" fontId="4" fillId="2" borderId="2" xfId="0" applyFont="1" applyFill="1" applyBorder="1" applyAlignment="1">
      <alignment horizontal="center"/>
    </xf>
    <xf numFmtId="0" fontId="5" fillId="3" borderId="27" xfId="0" applyFont="1" applyFill="1" applyBorder="1" applyAlignment="1">
      <alignment horizontal="left"/>
    </xf>
    <xf numFmtId="0" fontId="5" fillId="3" borderId="26" xfId="0" applyFont="1" applyFill="1" applyBorder="1" applyAlignment="1">
      <alignment horizontal="left"/>
    </xf>
    <xf numFmtId="0" fontId="2" fillId="3" borderId="0" xfId="0" applyFont="1" applyFill="1" applyBorder="1" applyAlignment="1">
      <alignment horizontal="left" indent="1"/>
    </xf>
    <xf numFmtId="0" fontId="2" fillId="3" borderId="36" xfId="0" applyFont="1" applyFill="1" applyBorder="1" applyAlignment="1">
      <alignment horizontal="left" indent="1"/>
    </xf>
    <xf numFmtId="0" fontId="4" fillId="2" borderId="4" xfId="0" applyFont="1" applyFill="1" applyBorder="1" applyAlignment="1">
      <alignment horizontal="center"/>
    </xf>
    <xf numFmtId="0" fontId="4" fillId="2" borderId="5" xfId="0" applyFont="1" applyFill="1" applyBorder="1" applyAlignment="1">
      <alignment horizont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4" fillId="2" borderId="3" xfId="0" applyFont="1" applyFill="1" applyBorder="1" applyAlignment="1">
      <alignment horizontal="center"/>
    </xf>
    <xf numFmtId="0" fontId="0" fillId="0" borderId="0" xfId="0" applyAlignment="1">
      <alignment horizontal="center" vertical="center"/>
    </xf>
    <xf numFmtId="0" fontId="2" fillId="2" borderId="31" xfId="0" applyFont="1" applyFill="1" applyBorder="1" applyAlignment="1"/>
    <xf numFmtId="0" fontId="2" fillId="2" borderId="32" xfId="0" applyFont="1" applyFill="1" applyBorder="1" applyAlignment="1"/>
    <xf numFmtId="0" fontId="2" fillId="2" borderId="0" xfId="0" applyFont="1" applyFill="1" applyBorder="1" applyAlignment="1"/>
    <xf numFmtId="0" fontId="3" fillId="3" borderId="0" xfId="0" applyFont="1" applyFill="1" applyBorder="1" applyAlignment="1"/>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22411</xdr:colOff>
      <xdr:row>0</xdr:row>
      <xdr:rowOff>0</xdr:rowOff>
    </xdr:from>
    <xdr:to>
      <xdr:col>2</xdr:col>
      <xdr:colOff>200665</xdr:colOff>
      <xdr:row>1</xdr:row>
      <xdr:rowOff>286341</xdr:rowOff>
    </xdr:to>
    <xdr:pic>
      <xdr:nvPicPr>
        <xdr:cNvPr id="2" name="Picture 1" descr="C:\Users\Joe\Desktop\Career Coaching\Branding Materials\Joe Fairless Logo-03.png">
          <a:extLst>
            <a:ext uri="{FF2B5EF4-FFF2-40B4-BE49-F238E27FC236}">
              <a16:creationId xmlns:a16="http://schemas.microsoft.com/office/drawing/2014/main" id="{01E80A80-2AC3-2F4C-A75E-2BB9558BD5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9352" y="0"/>
          <a:ext cx="1007489" cy="8989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72571</xdr:colOff>
      <xdr:row>0</xdr:row>
      <xdr:rowOff>0</xdr:rowOff>
    </xdr:from>
    <xdr:to>
      <xdr:col>4</xdr:col>
      <xdr:colOff>71483</xdr:colOff>
      <xdr:row>4</xdr:row>
      <xdr:rowOff>150949</xdr:rowOff>
    </xdr:to>
    <xdr:pic>
      <xdr:nvPicPr>
        <xdr:cNvPr id="2" name="Picture 1" descr="C:\Users\Joe\Desktop\Career Coaching\Branding Materials\Joe Fairless Logo-03.png">
          <a:extLst>
            <a:ext uri="{FF2B5EF4-FFF2-40B4-BE49-F238E27FC236}">
              <a16:creationId xmlns:a16="http://schemas.microsoft.com/office/drawing/2014/main" id="{FC90EC98-FB5D-1C47-A2B3-A838B9E8FD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0714" y="0"/>
          <a:ext cx="1005840" cy="92202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apartmentsyndication.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hyperlink" Target="http://www.apartmentsyndication.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hyperlink" Target="http://www.apartmentsyndica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DB03-3365-A744-88C4-D82B8A87B3AD}">
  <dimension ref="A1:A6"/>
  <sheetViews>
    <sheetView showGridLines="0" zoomScale="170" zoomScaleNormal="170" workbookViewId="0">
      <selection activeCell="A4" sqref="A4"/>
    </sheetView>
  </sheetViews>
  <sheetFormatPr defaultColWidth="11.42578125" defaultRowHeight="15"/>
  <cols>
    <col min="1" max="1" width="110.140625" customWidth="1"/>
  </cols>
  <sheetData>
    <row r="1" spans="1:1" ht="48">
      <c r="A1" s="208" t="s">
        <v>0</v>
      </c>
    </row>
    <row r="2" spans="1:1" ht="24">
      <c r="A2" s="211" t="s">
        <v>1</v>
      </c>
    </row>
    <row r="3" spans="1:1" ht="48">
      <c r="A3" s="210" t="s">
        <v>2</v>
      </c>
    </row>
    <row r="4" spans="1:1">
      <c r="A4" s="210"/>
    </row>
    <row r="5" spans="1:1" ht="32.1">
      <c r="A5" s="210" t="s">
        <v>3</v>
      </c>
    </row>
    <row r="6" spans="1:1" ht="15.95">
      <c r="A6" s="209" t="s">
        <v>4</v>
      </c>
    </row>
  </sheetData>
  <hyperlinks>
    <hyperlink ref="A6" r:id="rId1" xr:uid="{95018C9B-FACF-1447-8F97-4BD667A1F1F7}"/>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0AA16-B042-444B-9775-9175E6D1F517}">
  <dimension ref="A1:AK82"/>
  <sheetViews>
    <sheetView showGridLines="0" topLeftCell="K1" zoomScale="140" zoomScaleNormal="140" workbookViewId="0">
      <selection activeCell="B67" sqref="B67"/>
    </sheetView>
  </sheetViews>
  <sheetFormatPr defaultColWidth="8.85546875" defaultRowHeight="15"/>
  <cols>
    <col min="1" max="1" width="1" customWidth="1"/>
    <col min="2" max="2" width="18.28515625" customWidth="1"/>
    <col min="3" max="3" width="14.28515625" customWidth="1"/>
    <col min="4" max="4" width="13.140625" bestFit="1" customWidth="1"/>
    <col min="5" max="5" width="14" customWidth="1"/>
    <col min="6" max="7" width="13.28515625" customWidth="1"/>
    <col min="8" max="8" width="16" customWidth="1"/>
    <col min="9" max="9" width="14.140625" customWidth="1"/>
    <col min="10" max="13" width="13.28515625" customWidth="1"/>
    <col min="14" max="14" width="15.85546875" customWidth="1"/>
    <col min="15" max="15" width="13.85546875" customWidth="1"/>
    <col min="16" max="16" width="13.28515625" customWidth="1"/>
    <col min="17" max="17" width="12.85546875" style="1" customWidth="1"/>
    <col min="18" max="18" width="11.85546875" style="1" customWidth="1"/>
    <col min="19" max="20" width="10.28515625" style="1" customWidth="1"/>
    <col min="21" max="21" width="14" style="1" customWidth="1"/>
    <col min="22" max="22" width="10.85546875" style="1" customWidth="1"/>
    <col min="23" max="23" width="12.42578125" style="1" customWidth="1"/>
    <col min="24" max="24" width="11.7109375" style="1" customWidth="1"/>
    <col min="25" max="25" width="15.42578125" style="1" customWidth="1"/>
    <col min="26" max="37" width="10.28515625" style="1" customWidth="1"/>
    <col min="38" max="16384" width="8.85546875" style="1"/>
  </cols>
  <sheetData>
    <row r="1" spans="1:19" ht="15.95" thickBot="1">
      <c r="B1" s="219" t="s">
        <v>5</v>
      </c>
      <c r="C1" s="219"/>
      <c r="E1" s="218" t="s">
        <v>6</v>
      </c>
      <c r="F1" s="218"/>
      <c r="G1" s="218"/>
      <c r="H1" s="218"/>
      <c r="I1" s="218"/>
    </row>
    <row r="2" spans="1:19">
      <c r="B2" s="225" t="s">
        <v>7</v>
      </c>
      <c r="C2" s="226"/>
      <c r="E2" s="212"/>
      <c r="F2" s="212"/>
      <c r="G2" s="212"/>
      <c r="H2" s="212"/>
      <c r="I2" s="212"/>
    </row>
    <row r="3" spans="1:19">
      <c r="A3" s="2"/>
      <c r="B3" s="227" t="s">
        <v>8</v>
      </c>
      <c r="C3" s="228"/>
      <c r="E3" s="212"/>
      <c r="F3" s="212"/>
      <c r="G3" s="212"/>
      <c r="H3" s="212"/>
      <c r="I3" s="212"/>
      <c r="O3" s="2"/>
      <c r="P3" s="2"/>
      <c r="Q3" s="2"/>
      <c r="R3" s="2"/>
      <c r="S3" s="2"/>
    </row>
    <row r="4" spans="1:19">
      <c r="A4" s="2"/>
      <c r="B4" s="227" t="s">
        <v>9</v>
      </c>
      <c r="C4" s="228"/>
      <c r="E4" s="212"/>
      <c r="F4" s="212"/>
      <c r="G4" s="212"/>
      <c r="H4" s="212"/>
      <c r="I4" s="212"/>
      <c r="O4" s="2"/>
      <c r="P4" s="2"/>
      <c r="Q4" s="2"/>
      <c r="R4" s="2"/>
      <c r="S4" s="2"/>
    </row>
    <row r="5" spans="1:19">
      <c r="A5" s="2"/>
      <c r="B5" s="227" t="s">
        <v>10</v>
      </c>
      <c r="C5" s="228"/>
      <c r="I5" s="2"/>
    </row>
    <row r="6" spans="1:19" ht="15.95" thickBot="1">
      <c r="A6" s="2"/>
      <c r="B6" s="4"/>
      <c r="G6" s="4"/>
      <c r="M6" s="2"/>
    </row>
    <row r="7" spans="1:19">
      <c r="A7" s="2"/>
      <c r="B7" s="225" t="s">
        <v>11</v>
      </c>
      <c r="C7" s="226"/>
      <c r="E7" s="225" t="s">
        <v>12</v>
      </c>
      <c r="F7" s="239"/>
      <c r="G7" s="239"/>
      <c r="H7" s="239"/>
      <c r="I7" s="226"/>
      <c r="K7" s="225" t="s">
        <v>13</v>
      </c>
      <c r="L7" s="226"/>
      <c r="M7" s="3"/>
      <c r="N7" s="231" t="s">
        <v>14</v>
      </c>
      <c r="O7" s="232"/>
      <c r="P7" s="3"/>
    </row>
    <row r="8" spans="1:19">
      <c r="A8" s="2"/>
      <c r="B8" s="5" t="s">
        <v>15</v>
      </c>
      <c r="C8" s="6">
        <f>C13*(C61)</f>
        <v>22000000</v>
      </c>
      <c r="E8" s="7" t="s">
        <v>16</v>
      </c>
      <c r="F8" s="8">
        <f>SUM(F10:F15)</f>
        <v>256</v>
      </c>
      <c r="G8" s="9"/>
      <c r="H8" s="10"/>
      <c r="I8" s="11"/>
      <c r="K8" s="7" t="s">
        <v>17</v>
      </c>
      <c r="L8" s="12">
        <f>G63</f>
        <v>342886.78384490241</v>
      </c>
      <c r="N8" s="7" t="s">
        <v>18</v>
      </c>
      <c r="O8" s="13">
        <f>K58</f>
        <v>2251983.6229979075</v>
      </c>
      <c r="P8" s="14"/>
      <c r="Q8" s="15"/>
    </row>
    <row r="9" spans="1:19">
      <c r="A9" s="2"/>
      <c r="B9" s="5" t="s">
        <v>19</v>
      </c>
      <c r="C9" s="6">
        <f>C19-C8</f>
        <v>8509250</v>
      </c>
      <c r="E9" s="16" t="s">
        <v>20</v>
      </c>
      <c r="F9" s="17" t="s">
        <v>21</v>
      </c>
      <c r="G9" s="17" t="s">
        <v>22</v>
      </c>
      <c r="H9" s="17" t="s">
        <v>23</v>
      </c>
      <c r="I9" s="18" t="s">
        <v>24</v>
      </c>
      <c r="K9" s="7" t="s">
        <v>25</v>
      </c>
      <c r="L9" s="19">
        <f>G64</f>
        <v>4.0295770349314267E-2</v>
      </c>
      <c r="N9" s="7" t="s">
        <v>26</v>
      </c>
      <c r="O9" s="20">
        <f>(E58/C13)+0.005</f>
        <v>5.9726626222254539E-2</v>
      </c>
    </row>
    <row r="10" spans="1:19" ht="15.95" thickBot="1">
      <c r="A10" s="2"/>
      <c r="B10" s="21" t="s">
        <v>27</v>
      </c>
      <c r="C10" s="22">
        <f>C8+C9</f>
        <v>30509250</v>
      </c>
      <c r="E10" s="179" t="s">
        <v>28</v>
      </c>
      <c r="F10" s="180">
        <v>48</v>
      </c>
      <c r="G10" s="181">
        <v>1064</v>
      </c>
      <c r="H10" s="182">
        <v>973</v>
      </c>
      <c r="I10" s="23">
        <f t="shared" ref="I10:I15" si="0">G10-H10</f>
        <v>91</v>
      </c>
      <c r="K10" s="7" t="s">
        <v>29</v>
      </c>
      <c r="L10" s="19">
        <f>G73</f>
        <v>7.6553058772968599E-2</v>
      </c>
      <c r="N10" s="7" t="s">
        <v>30</v>
      </c>
      <c r="O10" s="24">
        <f>O8/O9</f>
        <v>37704852.348730244</v>
      </c>
    </row>
    <row r="11" spans="1:19" ht="15.95" thickBot="1">
      <c r="A11" s="2"/>
      <c r="B11" s="14"/>
      <c r="C11" s="14"/>
      <c r="E11" s="179" t="s">
        <v>31</v>
      </c>
      <c r="F11" s="180">
        <v>56</v>
      </c>
      <c r="G11" s="181">
        <v>1077</v>
      </c>
      <c r="H11" s="182">
        <v>978</v>
      </c>
      <c r="I11" s="23">
        <f t="shared" si="0"/>
        <v>99</v>
      </c>
      <c r="K11" s="25" t="s">
        <v>32</v>
      </c>
      <c r="L11" s="26">
        <f>G58/C13</f>
        <v>6.6182488071032122E-2</v>
      </c>
      <c r="N11" s="7" t="s">
        <v>33</v>
      </c>
      <c r="O11" s="13">
        <f>O10*-0.01</f>
        <v>-377048.52348730242</v>
      </c>
    </row>
    <row r="12" spans="1:19">
      <c r="A12" s="2"/>
      <c r="B12" s="225" t="s">
        <v>34</v>
      </c>
      <c r="C12" s="226"/>
      <c r="E12" s="179" t="s">
        <v>35</v>
      </c>
      <c r="F12" s="180">
        <v>48</v>
      </c>
      <c r="G12" s="181">
        <v>1295</v>
      </c>
      <c r="H12" s="182">
        <v>1184</v>
      </c>
      <c r="I12" s="23">
        <f t="shared" si="0"/>
        <v>111</v>
      </c>
      <c r="K12" s="27" t="s">
        <v>36</v>
      </c>
      <c r="L12" s="28">
        <f>AVERAGE(G64:K64)</f>
        <v>6.9238416746473422E-2</v>
      </c>
      <c r="N12" s="7" t="s">
        <v>37</v>
      </c>
      <c r="O12" s="13">
        <f>-(C8-K78)</f>
        <v>-20281212.369621783</v>
      </c>
    </row>
    <row r="13" spans="1:19" ht="15.95" thickBot="1">
      <c r="A13" s="2"/>
      <c r="B13" s="5" t="s">
        <v>38</v>
      </c>
      <c r="C13" s="176">
        <v>27500000</v>
      </c>
      <c r="E13" s="179" t="s">
        <v>39</v>
      </c>
      <c r="F13" s="180">
        <v>48</v>
      </c>
      <c r="G13" s="181">
        <v>1345</v>
      </c>
      <c r="H13" s="182">
        <v>1232</v>
      </c>
      <c r="I13" s="23">
        <f t="shared" si="0"/>
        <v>113</v>
      </c>
      <c r="K13" s="7" t="s">
        <v>40</v>
      </c>
      <c r="L13" s="19">
        <f>'IRR Calculation'!B9</f>
        <v>0.19972934163040978</v>
      </c>
      <c r="N13" s="29" t="s">
        <v>41</v>
      </c>
      <c r="O13" s="30">
        <f>O10+O11+O12</f>
        <v>17046591.455621161</v>
      </c>
    </row>
    <row r="14" spans="1:19">
      <c r="A14" s="2"/>
      <c r="B14" s="5" t="s">
        <v>42</v>
      </c>
      <c r="C14" s="177">
        <v>1568000</v>
      </c>
      <c r="E14" s="179" t="s">
        <v>43</v>
      </c>
      <c r="F14" s="180">
        <v>32</v>
      </c>
      <c r="G14" s="181">
        <v>1409</v>
      </c>
      <c r="H14" s="182">
        <v>1317</v>
      </c>
      <c r="I14" s="23">
        <f t="shared" si="0"/>
        <v>92</v>
      </c>
      <c r="K14" s="7" t="s">
        <v>44</v>
      </c>
      <c r="L14" s="19">
        <f>AVERAGE(G69:K69)</f>
        <v>6.8507715218393911E-2</v>
      </c>
    </row>
    <row r="15" spans="1:19" ht="15.95" thickBot="1">
      <c r="A15" s="2"/>
      <c r="B15" s="5" t="s">
        <v>45</v>
      </c>
      <c r="C15" s="177">
        <v>300000</v>
      </c>
      <c r="E15" s="179" t="s">
        <v>46</v>
      </c>
      <c r="F15" s="180">
        <v>24</v>
      </c>
      <c r="G15" s="181">
        <v>1677</v>
      </c>
      <c r="H15" s="182">
        <v>1540</v>
      </c>
      <c r="I15" s="23">
        <f t="shared" si="0"/>
        <v>137</v>
      </c>
      <c r="K15" s="31" t="s">
        <v>47</v>
      </c>
      <c r="L15" s="32">
        <f>'IRR Calculation'!C9</f>
        <v>0.15353556642540056</v>
      </c>
      <c r="M15" s="2"/>
    </row>
    <row r="16" spans="1:19" ht="15.95" thickBot="1">
      <c r="A16" s="2"/>
      <c r="B16" s="5" t="s">
        <v>48</v>
      </c>
      <c r="C16" s="178">
        <v>550000</v>
      </c>
      <c r="E16" s="33"/>
      <c r="F16" s="34" t="s">
        <v>49</v>
      </c>
      <c r="G16" s="35">
        <f>SUMPRODUCT(F10:F15,G10:G15)</f>
        <v>323440</v>
      </c>
      <c r="H16" s="35">
        <f>SUMPRODUCT(F10:F15,H10:H15)</f>
        <v>296544</v>
      </c>
      <c r="I16" s="36"/>
      <c r="L16" s="37"/>
      <c r="M16" s="2"/>
      <c r="N16" s="4"/>
      <c r="O16" s="4"/>
      <c r="P16" s="38"/>
      <c r="Q16" s="39"/>
      <c r="R16" s="39"/>
      <c r="S16" s="2"/>
    </row>
    <row r="17" spans="1:37">
      <c r="A17" s="2"/>
      <c r="B17" s="5" t="s">
        <v>33</v>
      </c>
      <c r="C17" s="177">
        <v>110000</v>
      </c>
      <c r="G17" s="2"/>
      <c r="H17" s="2"/>
      <c r="I17" s="40"/>
      <c r="J17" s="41"/>
      <c r="K17" s="41"/>
      <c r="L17" s="37"/>
      <c r="M17" s="2"/>
      <c r="N17" s="42"/>
      <c r="O17" s="42"/>
      <c r="P17" s="38"/>
      <c r="Q17" s="39"/>
      <c r="R17" s="39"/>
      <c r="S17" s="2"/>
    </row>
    <row r="18" spans="1:37">
      <c r="B18" s="5" t="s">
        <v>50</v>
      </c>
      <c r="C18" s="177">
        <v>481250.00000000006</v>
      </c>
      <c r="I18" s="43"/>
      <c r="J18" s="44"/>
      <c r="K18" s="44"/>
      <c r="L18" s="45"/>
      <c r="N18" s="42"/>
      <c r="O18" s="42"/>
      <c r="P18" s="46"/>
      <c r="Q18" s="46"/>
      <c r="R18" s="46"/>
      <c r="S18" s="2"/>
    </row>
    <row r="19" spans="1:37" ht="15.95" thickBot="1">
      <c r="B19" s="21" t="s">
        <v>51</v>
      </c>
      <c r="C19" s="22">
        <f>SUM(C13:C18)</f>
        <v>30509250</v>
      </c>
      <c r="I19" s="43"/>
      <c r="J19" s="44"/>
      <c r="K19" s="44"/>
      <c r="L19" s="45"/>
      <c r="N19" s="2"/>
      <c r="O19" s="2"/>
      <c r="P19" s="2"/>
      <c r="Q19" s="2"/>
      <c r="R19" s="2"/>
      <c r="S19" s="4"/>
    </row>
    <row r="20" spans="1:37">
      <c r="D20" s="47"/>
      <c r="E20" s="43"/>
      <c r="F20" s="44"/>
      <c r="G20" s="44"/>
      <c r="H20" s="45"/>
      <c r="O20" s="4"/>
      <c r="P20" s="4"/>
      <c r="Q20" s="48"/>
    </row>
    <row r="21" spans="1:37" ht="15.75" customHeight="1">
      <c r="B21" s="49"/>
      <c r="C21" s="49"/>
      <c r="D21" s="2"/>
      <c r="E21" s="50"/>
      <c r="F21" s="2"/>
      <c r="G21" s="2"/>
      <c r="H21" s="2"/>
      <c r="I21" s="2"/>
      <c r="J21" s="2"/>
      <c r="K21" s="2"/>
      <c r="L21" s="2"/>
      <c r="M21" s="2"/>
      <c r="N21" s="2"/>
      <c r="O21" s="2"/>
      <c r="P21" s="2"/>
    </row>
    <row r="22" spans="1:37" ht="15.75" customHeight="1">
      <c r="B22" s="2"/>
      <c r="C22" s="2"/>
      <c r="D22" s="2"/>
      <c r="E22" s="2"/>
      <c r="H22" s="51"/>
      <c r="I22" s="51"/>
      <c r="J22" s="51"/>
      <c r="K22" s="51"/>
      <c r="L22" s="51"/>
      <c r="M22" s="2"/>
      <c r="N22" s="2"/>
      <c r="O22" s="2"/>
      <c r="P22" s="2"/>
    </row>
    <row r="23" spans="1:37" ht="15.75" customHeight="1" thickBot="1">
      <c r="B23" s="2"/>
      <c r="C23" s="2"/>
      <c r="D23" s="2"/>
      <c r="E23" s="2"/>
      <c r="F23" s="51"/>
      <c r="G23" s="2"/>
      <c r="H23" s="51"/>
      <c r="I23" s="51"/>
      <c r="J23" s="51"/>
      <c r="K23" s="51"/>
      <c r="L23" s="51"/>
      <c r="M23" s="2"/>
      <c r="N23" s="2"/>
      <c r="O23" s="2"/>
      <c r="P23" s="2"/>
    </row>
    <row r="24" spans="1:37" ht="15" customHeight="1">
      <c r="A24" s="52"/>
      <c r="B24" s="2"/>
      <c r="C24" s="2"/>
      <c r="D24" s="53"/>
      <c r="E24" s="53"/>
      <c r="F24" s="53"/>
      <c r="G24" s="233" t="s">
        <v>52</v>
      </c>
      <c r="H24" s="234"/>
      <c r="I24" s="234"/>
      <c r="J24" s="234"/>
      <c r="K24" s="235"/>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2"/>
    </row>
    <row r="25" spans="1:37" ht="15.95" thickBot="1">
      <c r="B25" s="53"/>
      <c r="C25" s="53"/>
      <c r="G25" s="236"/>
      <c r="H25" s="237"/>
      <c r="I25" s="237"/>
      <c r="J25" s="237"/>
      <c r="K25" s="238"/>
      <c r="Q25" s="54"/>
      <c r="R25" s="54"/>
      <c r="S25" s="54"/>
      <c r="T25" s="54"/>
      <c r="U25" s="54"/>
      <c r="V25" s="54"/>
      <c r="W25" s="54"/>
      <c r="X25" s="54"/>
      <c r="Y25" s="54"/>
      <c r="Z25" s="54"/>
      <c r="AA25" s="54"/>
      <c r="AB25" s="54"/>
      <c r="AC25" s="54"/>
      <c r="AD25" s="54"/>
      <c r="AE25" s="54"/>
      <c r="AF25" s="54"/>
      <c r="AG25" s="54"/>
      <c r="AH25" s="54"/>
      <c r="AI25" s="54"/>
      <c r="AJ25" s="54"/>
      <c r="AK25" s="2"/>
    </row>
    <row r="26" spans="1:37">
      <c r="B26" s="55" t="s">
        <v>53</v>
      </c>
      <c r="C26" s="56"/>
      <c r="D26" s="56"/>
      <c r="E26" s="56"/>
      <c r="F26" s="183">
        <v>0.03</v>
      </c>
      <c r="G26" s="57">
        <f>F26</f>
        <v>0.03</v>
      </c>
      <c r="H26" s="58">
        <f>F26</f>
        <v>0.03</v>
      </c>
      <c r="I26" s="58">
        <f>F26</f>
        <v>0.03</v>
      </c>
      <c r="J26" s="58">
        <f>F26</f>
        <v>0.03</v>
      </c>
      <c r="K26" s="59">
        <f>F26</f>
        <v>0.03</v>
      </c>
      <c r="L26" s="60">
        <f>F26</f>
        <v>0.03</v>
      </c>
      <c r="M26" s="60">
        <f>F26</f>
        <v>0.03</v>
      </c>
      <c r="N26" s="60">
        <f>F26</f>
        <v>0.03</v>
      </c>
      <c r="O26" s="60">
        <f>F26</f>
        <v>0.03</v>
      </c>
      <c r="P26" s="61">
        <f>F26</f>
        <v>0.03</v>
      </c>
      <c r="Q26" s="54"/>
      <c r="R26" s="54"/>
      <c r="S26" s="54"/>
      <c r="T26" s="54"/>
      <c r="U26" s="54"/>
      <c r="V26" s="54"/>
      <c r="W26" s="54"/>
      <c r="X26" s="54"/>
      <c r="Y26" s="54"/>
      <c r="Z26" s="54"/>
      <c r="AA26" s="54"/>
      <c r="AB26" s="54"/>
      <c r="AC26" s="54"/>
      <c r="AD26" s="54"/>
      <c r="AE26" s="54"/>
      <c r="AF26" s="54"/>
      <c r="AG26" s="54"/>
      <c r="AH26" s="54"/>
      <c r="AI26" s="54"/>
      <c r="AJ26" s="54"/>
      <c r="AK26" s="2"/>
    </row>
    <row r="27" spans="1:37">
      <c r="A27" s="62"/>
      <c r="B27" s="55" t="s">
        <v>54</v>
      </c>
      <c r="C27" s="56"/>
      <c r="D27" s="56"/>
      <c r="E27" s="56"/>
      <c r="F27" s="183">
        <v>0.02</v>
      </c>
      <c r="G27" s="63">
        <f>F27</f>
        <v>0.02</v>
      </c>
      <c r="H27" s="64">
        <f>F27</f>
        <v>0.02</v>
      </c>
      <c r="I27" s="64">
        <f>F27</f>
        <v>0.02</v>
      </c>
      <c r="J27" s="64">
        <f>F27</f>
        <v>0.02</v>
      </c>
      <c r="K27" s="65">
        <f>F27</f>
        <v>0.02</v>
      </c>
      <c r="L27" s="60">
        <f>F27</f>
        <v>0.02</v>
      </c>
      <c r="M27" s="60">
        <f>F27</f>
        <v>0.02</v>
      </c>
      <c r="N27" s="60">
        <f>F27</f>
        <v>0.02</v>
      </c>
      <c r="O27" s="60">
        <f>F27</f>
        <v>0.02</v>
      </c>
      <c r="P27" s="61">
        <f>F27</f>
        <v>0.02</v>
      </c>
      <c r="Q27" s="66"/>
      <c r="R27" s="66"/>
      <c r="S27" s="66"/>
      <c r="T27" s="66"/>
      <c r="U27" s="66"/>
      <c r="V27" s="66"/>
      <c r="W27" s="66"/>
      <c r="X27" s="66"/>
      <c r="Y27" s="66"/>
      <c r="Z27" s="66"/>
      <c r="AA27" s="66"/>
      <c r="AB27" s="66"/>
      <c r="AC27" s="66"/>
      <c r="AD27" s="66"/>
      <c r="AE27" s="66"/>
      <c r="AF27" s="66"/>
      <c r="AG27" s="66"/>
      <c r="AH27" s="66"/>
      <c r="AI27" s="66"/>
      <c r="AJ27" s="66"/>
      <c r="AK27" s="2"/>
    </row>
    <row r="28" spans="1:37">
      <c r="A28" s="52"/>
      <c r="B28" s="67"/>
      <c r="C28" s="67"/>
      <c r="D28" s="67"/>
      <c r="E28" s="1"/>
      <c r="F28" s="1"/>
      <c r="G28" s="68"/>
      <c r="H28" s="69"/>
      <c r="I28" s="69"/>
      <c r="J28" s="69"/>
      <c r="K28" s="70"/>
      <c r="L28" s="66"/>
      <c r="M28" s="66"/>
      <c r="N28" s="66"/>
      <c r="O28" s="66"/>
      <c r="P28" s="66"/>
      <c r="Q28" s="53"/>
      <c r="R28" s="53"/>
      <c r="S28" s="53"/>
      <c r="T28" s="53"/>
      <c r="U28" s="53"/>
      <c r="V28" s="53"/>
      <c r="W28" s="53"/>
      <c r="X28" s="53"/>
      <c r="Y28" s="53"/>
      <c r="Z28" s="53"/>
      <c r="AA28" s="53"/>
      <c r="AB28" s="53"/>
      <c r="AC28" s="53"/>
      <c r="AD28" s="53"/>
      <c r="AE28" s="53"/>
      <c r="AF28" s="53"/>
      <c r="AG28" s="53"/>
      <c r="AH28" s="53"/>
      <c r="AI28" s="53"/>
      <c r="AJ28" s="53"/>
      <c r="AK28" s="2"/>
    </row>
    <row r="29" spans="1:37">
      <c r="B29" s="71"/>
      <c r="C29" s="71"/>
      <c r="D29" s="71"/>
      <c r="E29" s="71" t="s">
        <v>55</v>
      </c>
      <c r="F29" s="72" t="s">
        <v>56</v>
      </c>
      <c r="G29" s="73" t="s">
        <v>57</v>
      </c>
      <c r="H29" s="74" t="s">
        <v>58</v>
      </c>
      <c r="I29" s="74" t="s">
        <v>59</v>
      </c>
      <c r="J29" s="74" t="s">
        <v>60</v>
      </c>
      <c r="K29" s="75" t="s">
        <v>61</v>
      </c>
      <c r="L29" s="71" t="s">
        <v>62</v>
      </c>
      <c r="M29" s="71" t="s">
        <v>63</v>
      </c>
      <c r="N29" s="71" t="s">
        <v>64</v>
      </c>
      <c r="O29" s="71" t="s">
        <v>65</v>
      </c>
      <c r="P29" s="71" t="s">
        <v>66</v>
      </c>
      <c r="Q29" s="2"/>
      <c r="R29" s="2"/>
      <c r="S29" s="2"/>
      <c r="T29" s="2"/>
      <c r="U29" s="2"/>
      <c r="V29" s="2"/>
      <c r="W29" s="2"/>
      <c r="X29" s="2"/>
      <c r="Y29" s="2"/>
      <c r="Z29" s="2"/>
      <c r="AA29" s="2"/>
      <c r="AB29" s="2"/>
      <c r="AC29" s="2"/>
      <c r="AD29" s="2"/>
      <c r="AE29" s="2"/>
      <c r="AF29" s="2"/>
      <c r="AG29" s="2"/>
      <c r="AH29" s="2"/>
      <c r="AI29" s="2"/>
      <c r="AJ29" s="2"/>
      <c r="AK29" s="2"/>
    </row>
    <row r="30" spans="1:37">
      <c r="B30" s="76" t="s">
        <v>67</v>
      </c>
      <c r="C30" s="77"/>
      <c r="D30" s="77"/>
      <c r="E30" s="77"/>
      <c r="F30" s="77"/>
      <c r="G30" s="78"/>
      <c r="H30" s="79"/>
      <c r="I30" s="79"/>
      <c r="J30" s="79"/>
      <c r="K30" s="80"/>
      <c r="L30" s="77"/>
      <c r="M30" s="77"/>
      <c r="N30" s="81"/>
      <c r="O30" s="81"/>
      <c r="P30" s="82"/>
      <c r="Q30" s="83"/>
      <c r="R30" s="83"/>
      <c r="S30" s="83"/>
      <c r="T30" s="83"/>
      <c r="U30" s="83"/>
      <c r="V30" s="83"/>
      <c r="W30" s="83"/>
      <c r="X30" s="83"/>
      <c r="Y30" s="83"/>
      <c r="Z30" s="83"/>
      <c r="AA30" s="83"/>
      <c r="AB30" s="83"/>
      <c r="AC30" s="83"/>
      <c r="AD30" s="83"/>
      <c r="AE30" s="83"/>
      <c r="AF30" s="83"/>
      <c r="AG30" s="83"/>
      <c r="AH30" s="83"/>
      <c r="AI30" s="83"/>
      <c r="AJ30" s="83"/>
      <c r="AK30" s="2"/>
    </row>
    <row r="31" spans="1:37" s="91" customFormat="1">
      <c r="A31" s="84"/>
      <c r="B31" s="221" t="s">
        <v>68</v>
      </c>
      <c r="C31" s="222"/>
      <c r="D31" s="85" t="s">
        <v>69</v>
      </c>
      <c r="E31" s="85">
        <f>H16*12</f>
        <v>3558528</v>
      </c>
      <c r="F31" s="85">
        <f>G16*12</f>
        <v>3881280</v>
      </c>
      <c r="G31" s="86">
        <f>F31</f>
        <v>3881280</v>
      </c>
      <c r="H31" s="87">
        <f>G31+(G31*H26)</f>
        <v>3997718.4</v>
      </c>
      <c r="I31" s="87">
        <f>H31+(I26*H31)</f>
        <v>4117649.952</v>
      </c>
      <c r="J31" s="87">
        <f>I31+(J26*I31)</f>
        <v>4241179.4505599998</v>
      </c>
      <c r="K31" s="88">
        <f t="shared" ref="K31:P31" si="1">J31+(K26*J31)</f>
        <v>4368414.8340767995</v>
      </c>
      <c r="L31" s="85">
        <f>K31+(L26*K31)</f>
        <v>4499467.2790991031</v>
      </c>
      <c r="M31" s="85">
        <f t="shared" si="1"/>
        <v>4634451.2974720765</v>
      </c>
      <c r="N31" s="85">
        <f>M31+(N26*M31)</f>
        <v>4773484.8363962388</v>
      </c>
      <c r="O31" s="85">
        <f t="shared" si="1"/>
        <v>4916689.3814881258</v>
      </c>
      <c r="P31" s="89">
        <f t="shared" si="1"/>
        <v>5064190.0629327698</v>
      </c>
      <c r="Q31" s="54"/>
      <c r="R31" s="54"/>
      <c r="S31" s="54"/>
      <c r="T31" s="54"/>
      <c r="U31" s="54"/>
      <c r="V31" s="54"/>
      <c r="W31" s="54"/>
      <c r="X31" s="54"/>
      <c r="Y31" s="54"/>
      <c r="Z31" s="54"/>
      <c r="AA31" s="54"/>
      <c r="AB31" s="54"/>
      <c r="AC31" s="54"/>
      <c r="AD31" s="54"/>
      <c r="AE31" s="54"/>
      <c r="AF31" s="54"/>
      <c r="AG31" s="54"/>
      <c r="AH31" s="54"/>
      <c r="AI31" s="54"/>
      <c r="AJ31" s="54"/>
      <c r="AK31" s="90"/>
    </row>
    <row r="32" spans="1:37">
      <c r="B32" s="221" t="s">
        <v>70</v>
      </c>
      <c r="C32" s="222"/>
      <c r="D32" s="85" t="s">
        <v>71</v>
      </c>
      <c r="E32" s="92">
        <f>-E33/E31</f>
        <v>4.2939664940110069E-2</v>
      </c>
      <c r="F32" s="186">
        <v>0.05</v>
      </c>
      <c r="G32" s="188">
        <v>0.08</v>
      </c>
      <c r="H32" s="150">
        <f>F32</f>
        <v>0.05</v>
      </c>
      <c r="I32" s="94">
        <f t="shared" ref="I32:P32" si="2">$F$32</f>
        <v>0.05</v>
      </c>
      <c r="J32" s="94">
        <f t="shared" si="2"/>
        <v>0.05</v>
      </c>
      <c r="K32" s="95">
        <f t="shared" si="2"/>
        <v>0.05</v>
      </c>
      <c r="L32" s="93">
        <f t="shared" si="2"/>
        <v>0.05</v>
      </c>
      <c r="M32" s="93">
        <f t="shared" si="2"/>
        <v>0.05</v>
      </c>
      <c r="N32" s="93">
        <f t="shared" si="2"/>
        <v>0.05</v>
      </c>
      <c r="O32" s="93">
        <f t="shared" si="2"/>
        <v>0.05</v>
      </c>
      <c r="P32" s="96">
        <f t="shared" si="2"/>
        <v>0.05</v>
      </c>
      <c r="Q32" s="83"/>
      <c r="R32" s="83"/>
      <c r="S32" s="83"/>
      <c r="T32" s="83"/>
      <c r="U32" s="83"/>
      <c r="V32" s="83"/>
      <c r="W32" s="83"/>
      <c r="X32" s="83"/>
      <c r="Y32" s="83"/>
      <c r="Z32" s="83"/>
      <c r="AA32" s="83"/>
      <c r="AB32" s="83"/>
      <c r="AC32" s="83"/>
      <c r="AD32" s="83"/>
      <c r="AE32" s="83"/>
      <c r="AF32" s="83"/>
      <c r="AG32" s="83"/>
      <c r="AH32" s="83"/>
      <c r="AI32" s="83"/>
      <c r="AJ32" s="83"/>
      <c r="AK32" s="2"/>
    </row>
    <row r="33" spans="1:37">
      <c r="B33" s="221" t="s">
        <v>72</v>
      </c>
      <c r="C33" s="222"/>
      <c r="D33" s="85" t="s">
        <v>69</v>
      </c>
      <c r="E33" s="184">
        <v>-152802</v>
      </c>
      <c r="F33" s="85">
        <f>-F31*F32</f>
        <v>-194064</v>
      </c>
      <c r="G33" s="86">
        <f>-G32*G31</f>
        <v>-310502.40000000002</v>
      </c>
      <c r="H33" s="87">
        <f>-H32*H31</f>
        <v>-199885.92</v>
      </c>
      <c r="I33" s="87">
        <f>-(I31*I32)</f>
        <v>-205882.4976</v>
      </c>
      <c r="J33" s="87">
        <f t="shared" ref="J33:P33" si="3">-(J31*J32)</f>
        <v>-212058.97252800001</v>
      </c>
      <c r="K33" s="88">
        <f t="shared" si="3"/>
        <v>-218420.74170383997</v>
      </c>
      <c r="L33" s="85">
        <f t="shared" si="3"/>
        <v>-224973.36395495516</v>
      </c>
      <c r="M33" s="85">
        <f t="shared" si="3"/>
        <v>-231722.56487360384</v>
      </c>
      <c r="N33" s="85">
        <f t="shared" si="3"/>
        <v>-238674.24181981196</v>
      </c>
      <c r="O33" s="85">
        <f t="shared" si="3"/>
        <v>-245834.46907440631</v>
      </c>
      <c r="P33" s="89">
        <f t="shared" si="3"/>
        <v>-253209.50314663851</v>
      </c>
      <c r="Q33" s="83"/>
      <c r="R33" s="83"/>
      <c r="S33" s="83"/>
      <c r="T33" s="83"/>
      <c r="U33" s="83"/>
      <c r="V33" s="83"/>
      <c r="W33" s="83"/>
      <c r="X33" s="83"/>
      <c r="Y33" s="83"/>
      <c r="Z33" s="83"/>
      <c r="AA33" s="83"/>
      <c r="AB33" s="83"/>
      <c r="AC33" s="83"/>
      <c r="AD33" s="83"/>
      <c r="AE33" s="83"/>
      <c r="AF33" s="83"/>
      <c r="AG33" s="83"/>
      <c r="AH33" s="83"/>
      <c r="AI33" s="83"/>
      <c r="AJ33" s="83"/>
      <c r="AK33" s="2"/>
    </row>
    <row r="34" spans="1:37">
      <c r="B34" s="221" t="s">
        <v>73</v>
      </c>
      <c r="C34" s="222"/>
      <c r="D34" s="85" t="s">
        <v>69</v>
      </c>
      <c r="E34" s="184">
        <v>-254568</v>
      </c>
      <c r="F34" s="184">
        <v>-116438.39999999999</v>
      </c>
      <c r="G34" s="86">
        <f>F34</f>
        <v>-116438.39999999999</v>
      </c>
      <c r="H34" s="87">
        <f>G34+(G34*H26)</f>
        <v>-119931.552</v>
      </c>
      <c r="I34" s="87">
        <f>H34+(H34*I26)</f>
        <v>-123529.49855999999</v>
      </c>
      <c r="J34" s="87">
        <f t="shared" ref="J34:P34" si="4">I34+(I34*J26)</f>
        <v>-127235.38351679999</v>
      </c>
      <c r="K34" s="88">
        <f t="shared" si="4"/>
        <v>-131052.44502230399</v>
      </c>
      <c r="L34" s="85">
        <f t="shared" si="4"/>
        <v>-134984.01837297311</v>
      </c>
      <c r="M34" s="85">
        <f t="shared" si="4"/>
        <v>-139033.53892416231</v>
      </c>
      <c r="N34" s="85">
        <f t="shared" si="4"/>
        <v>-143204.54509188718</v>
      </c>
      <c r="O34" s="85">
        <f t="shared" si="4"/>
        <v>-147500.68144464379</v>
      </c>
      <c r="P34" s="89">
        <f t="shared" si="4"/>
        <v>-151925.7018879831</v>
      </c>
      <c r="Q34" s="83"/>
      <c r="R34" s="83"/>
      <c r="S34" s="83"/>
      <c r="T34" s="83"/>
      <c r="U34" s="83"/>
      <c r="V34" s="83"/>
      <c r="W34" s="83"/>
      <c r="X34" s="83"/>
      <c r="Y34" s="83"/>
      <c r="Z34" s="83"/>
      <c r="AA34" s="83"/>
      <c r="AB34" s="83"/>
      <c r="AC34" s="83"/>
      <c r="AD34" s="83"/>
      <c r="AE34" s="83"/>
      <c r="AF34" s="83"/>
      <c r="AG34" s="83"/>
      <c r="AH34" s="83"/>
      <c r="AI34" s="83"/>
      <c r="AJ34" s="83"/>
      <c r="AK34" s="2"/>
    </row>
    <row r="35" spans="1:37">
      <c r="B35" s="221" t="s">
        <v>74</v>
      </c>
      <c r="C35" s="222"/>
      <c r="D35" s="85" t="s">
        <v>69</v>
      </c>
      <c r="E35" s="184">
        <v>-1112.04</v>
      </c>
      <c r="F35" s="184">
        <v>-1212.9000000000001</v>
      </c>
      <c r="G35" s="86">
        <f>F35</f>
        <v>-1212.9000000000001</v>
      </c>
      <c r="H35" s="87">
        <f>G35+(G35*H26)</f>
        <v>-1249.287</v>
      </c>
      <c r="I35" s="87">
        <f>H35+(H35*I26)</f>
        <v>-1286.7656099999999</v>
      </c>
      <c r="J35" s="87">
        <f t="shared" ref="J35:P35" si="5">I35+(I35*J26)</f>
        <v>-1325.3685782999999</v>
      </c>
      <c r="K35" s="88">
        <f t="shared" si="5"/>
        <v>-1365.1296356489997</v>
      </c>
      <c r="L35" s="85">
        <f t="shared" si="5"/>
        <v>-1406.0835247184698</v>
      </c>
      <c r="M35" s="85">
        <f t="shared" si="5"/>
        <v>-1448.2660304600238</v>
      </c>
      <c r="N35" s="85">
        <f t="shared" si="5"/>
        <v>-1491.7140113738244</v>
      </c>
      <c r="O35" s="85">
        <f t="shared" si="5"/>
        <v>-1536.4654317150391</v>
      </c>
      <c r="P35" s="89">
        <f t="shared" si="5"/>
        <v>-1582.5593946664903</v>
      </c>
      <c r="Q35" s="83"/>
      <c r="R35" s="83"/>
      <c r="S35" s="83"/>
      <c r="T35" s="83"/>
      <c r="U35" s="83"/>
      <c r="V35" s="83"/>
      <c r="W35" s="83"/>
      <c r="X35" s="83"/>
      <c r="Y35" s="83"/>
      <c r="Z35" s="83"/>
      <c r="AA35" s="83"/>
      <c r="AB35" s="83"/>
      <c r="AC35" s="83"/>
      <c r="AD35" s="83"/>
      <c r="AE35" s="83"/>
      <c r="AF35" s="83"/>
      <c r="AG35" s="83"/>
      <c r="AH35" s="83"/>
      <c r="AI35" s="83"/>
      <c r="AJ35" s="83"/>
      <c r="AK35" s="2"/>
    </row>
    <row r="36" spans="1:37">
      <c r="B36" s="221" t="s">
        <v>75</v>
      </c>
      <c r="C36" s="222"/>
      <c r="D36" s="85" t="s">
        <v>69</v>
      </c>
      <c r="E36" s="184">
        <v>-33237.24</v>
      </c>
      <c r="F36" s="184">
        <v>-36251.797054062801</v>
      </c>
      <c r="G36" s="86">
        <f>F36</f>
        <v>-36251.797054062801</v>
      </c>
      <c r="H36" s="87">
        <f>G36+(G36*H26)</f>
        <v>-37339.350965684687</v>
      </c>
      <c r="I36" s="87">
        <f>H36+(H36*I26)</f>
        <v>-38459.531494655224</v>
      </c>
      <c r="J36" s="87">
        <f t="shared" ref="J36:P36" si="6">I36+(I36*J26)</f>
        <v>-39613.31743949488</v>
      </c>
      <c r="K36" s="88">
        <f t="shared" si="6"/>
        <v>-40801.716962679726</v>
      </c>
      <c r="L36" s="85">
        <f t="shared" si="6"/>
        <v>-42025.768471560121</v>
      </c>
      <c r="M36" s="85">
        <f t="shared" si="6"/>
        <v>-43286.541525706925</v>
      </c>
      <c r="N36" s="85">
        <f t="shared" si="6"/>
        <v>-44585.137771478134</v>
      </c>
      <c r="O36" s="85">
        <f t="shared" si="6"/>
        <v>-45922.691904622479</v>
      </c>
      <c r="P36" s="89">
        <f t="shared" si="6"/>
        <v>-47300.372661761154</v>
      </c>
      <c r="Q36" s="83"/>
      <c r="R36" s="83"/>
      <c r="S36" s="83"/>
      <c r="T36" s="83"/>
      <c r="U36" s="83"/>
      <c r="V36" s="83"/>
      <c r="W36" s="83"/>
      <c r="X36" s="83"/>
      <c r="Y36" s="83"/>
      <c r="Z36" s="83"/>
      <c r="AA36" s="83"/>
      <c r="AB36" s="83"/>
      <c r="AC36" s="83"/>
      <c r="AD36" s="83"/>
      <c r="AE36" s="83"/>
      <c r="AF36" s="83"/>
      <c r="AG36" s="83"/>
      <c r="AH36" s="83"/>
      <c r="AI36" s="83"/>
      <c r="AJ36" s="83"/>
      <c r="AK36" s="2"/>
    </row>
    <row r="37" spans="1:37">
      <c r="B37" s="221" t="s">
        <v>76</v>
      </c>
      <c r="C37" s="222"/>
      <c r="D37" s="85" t="s">
        <v>69</v>
      </c>
      <c r="E37" s="184">
        <v>-60188.28</v>
      </c>
      <c r="F37" s="184">
        <v>-65647.24723211395</v>
      </c>
      <c r="G37" s="86">
        <f>F37</f>
        <v>-65647.24723211395</v>
      </c>
      <c r="H37" s="87">
        <f>G37+(G37*H26)</f>
        <v>-67616.664649077371</v>
      </c>
      <c r="I37" s="87">
        <f>H37+(H37*I26)</f>
        <v>-69645.164588549698</v>
      </c>
      <c r="J37" s="87">
        <f t="shared" ref="J37:P37" si="7">I37+(I37*J26)</f>
        <v>-71734.51952620619</v>
      </c>
      <c r="K37" s="88">
        <f t="shared" si="7"/>
        <v>-73886.555111992377</v>
      </c>
      <c r="L37" s="85">
        <f t="shared" si="7"/>
        <v>-76103.151765352144</v>
      </c>
      <c r="M37" s="85">
        <f t="shared" si="7"/>
        <v>-78386.246318312711</v>
      </c>
      <c r="N37" s="85">
        <f t="shared" si="7"/>
        <v>-80737.833707862097</v>
      </c>
      <c r="O37" s="85">
        <f t="shared" si="7"/>
        <v>-83159.96871909796</v>
      </c>
      <c r="P37" s="89">
        <f t="shared" si="7"/>
        <v>-85654.767780670896</v>
      </c>
      <c r="Q37" s="83"/>
      <c r="R37" s="83"/>
      <c r="S37" s="83"/>
      <c r="T37" s="83"/>
      <c r="U37" s="83"/>
      <c r="V37" s="83"/>
      <c r="W37" s="83"/>
      <c r="X37" s="83"/>
      <c r="Y37" s="83"/>
      <c r="Z37" s="83"/>
      <c r="AA37" s="83"/>
      <c r="AB37" s="83"/>
      <c r="AC37" s="83"/>
      <c r="AD37" s="83"/>
      <c r="AE37" s="83"/>
      <c r="AF37" s="83"/>
      <c r="AG37" s="83"/>
      <c r="AH37" s="83"/>
      <c r="AI37" s="83"/>
      <c r="AJ37" s="83"/>
      <c r="AK37" s="2"/>
    </row>
    <row r="38" spans="1:37">
      <c r="B38" s="213" t="s">
        <v>77</v>
      </c>
      <c r="C38" s="214"/>
      <c r="D38" s="85" t="s">
        <v>69</v>
      </c>
      <c r="E38" s="184">
        <v>369307.32</v>
      </c>
      <c r="F38" s="184">
        <v>402802.82042732276</v>
      </c>
      <c r="G38" s="86">
        <f>F38</f>
        <v>402802.82042732276</v>
      </c>
      <c r="H38" s="87">
        <f>G38+(G38*H26)</f>
        <v>414886.90504014242</v>
      </c>
      <c r="I38" s="87">
        <f>H38+(H38*I26)</f>
        <v>427333.51219134667</v>
      </c>
      <c r="J38" s="87">
        <f t="shared" ref="J38:P38" si="8">I38+(I38*J26)</f>
        <v>440153.51755708706</v>
      </c>
      <c r="K38" s="88">
        <f t="shared" si="8"/>
        <v>453358.12308379967</v>
      </c>
      <c r="L38" s="85">
        <f t="shared" si="8"/>
        <v>466958.86677631363</v>
      </c>
      <c r="M38" s="85">
        <f t="shared" si="8"/>
        <v>480967.63277960307</v>
      </c>
      <c r="N38" s="85">
        <f t="shared" si="8"/>
        <v>495396.66176299116</v>
      </c>
      <c r="O38" s="85">
        <f>N38+(N38*O26)</f>
        <v>510258.56161588087</v>
      </c>
      <c r="P38" s="89">
        <f t="shared" si="8"/>
        <v>525566.31846435729</v>
      </c>
      <c r="Q38" s="97"/>
      <c r="R38" s="97"/>
      <c r="S38" s="97"/>
      <c r="T38" s="97"/>
      <c r="U38" s="97"/>
      <c r="V38" s="97"/>
      <c r="W38" s="97"/>
      <c r="X38" s="97"/>
      <c r="Y38" s="97"/>
      <c r="Z38" s="97"/>
      <c r="AA38" s="97"/>
      <c r="AB38" s="97"/>
      <c r="AC38" s="97"/>
      <c r="AD38" s="97"/>
      <c r="AE38" s="97"/>
      <c r="AF38" s="97"/>
      <c r="AG38" s="97"/>
      <c r="AH38" s="97"/>
      <c r="AI38" s="97"/>
      <c r="AJ38" s="97"/>
      <c r="AK38" s="2"/>
    </row>
    <row r="39" spans="1:37">
      <c r="A39" s="52"/>
      <c r="B39" s="223" t="s">
        <v>78</v>
      </c>
      <c r="C39" s="224"/>
      <c r="D39" s="98" t="s">
        <v>69</v>
      </c>
      <c r="E39" s="99">
        <f>SUM(E31,E33:E38)</f>
        <v>3425927.76</v>
      </c>
      <c r="F39" s="99">
        <f>SUM(F31,F33:F38)</f>
        <v>3870468.4761411464</v>
      </c>
      <c r="G39" s="100">
        <f>SUM(G31,G33:G38)</f>
        <v>3754030.0761411465</v>
      </c>
      <c r="H39" s="101">
        <f>SUM(H31,H33:H38)</f>
        <v>3986582.5304253804</v>
      </c>
      <c r="I39" s="101">
        <f t="shared" ref="I39:P39" si="9">SUM(I31,I33:I38)</f>
        <v>4106180.0063381419</v>
      </c>
      <c r="J39" s="101">
        <f t="shared" si="9"/>
        <v>4229365.4065282866</v>
      </c>
      <c r="K39" s="102">
        <f t="shared" si="9"/>
        <v>4356246.3687241348</v>
      </c>
      <c r="L39" s="99">
        <f t="shared" si="9"/>
        <v>4486933.7597858589</v>
      </c>
      <c r="M39" s="99">
        <f t="shared" si="9"/>
        <v>4621541.7725794343</v>
      </c>
      <c r="N39" s="99">
        <f t="shared" si="9"/>
        <v>4760188.0257568164</v>
      </c>
      <c r="O39" s="99">
        <f t="shared" si="9"/>
        <v>4902993.6665295204</v>
      </c>
      <c r="P39" s="103">
        <f t="shared" si="9"/>
        <v>5050083.4765254073</v>
      </c>
      <c r="Q39" s="2"/>
      <c r="R39" s="2"/>
      <c r="S39" s="2"/>
      <c r="T39" s="2"/>
      <c r="U39" s="2"/>
      <c r="V39" s="2"/>
      <c r="W39" s="2"/>
      <c r="X39" s="2"/>
      <c r="Y39" s="2"/>
      <c r="Z39" s="2"/>
      <c r="AA39" s="2"/>
      <c r="AB39" s="2"/>
      <c r="AC39" s="2"/>
      <c r="AD39" s="2"/>
      <c r="AE39" s="2"/>
      <c r="AF39" s="2"/>
      <c r="AG39" s="2"/>
      <c r="AH39" s="2"/>
      <c r="AI39" s="2"/>
      <c r="AJ39" s="2"/>
      <c r="AK39" s="2"/>
    </row>
    <row r="40" spans="1:37">
      <c r="B40" s="67"/>
      <c r="C40" s="67"/>
      <c r="D40" s="67"/>
      <c r="E40" s="67"/>
      <c r="F40" s="67"/>
      <c r="G40" s="86"/>
      <c r="H40" s="87"/>
      <c r="I40" s="104"/>
      <c r="J40" s="104"/>
      <c r="K40" s="105"/>
      <c r="L40" s="67"/>
      <c r="M40" s="67"/>
      <c r="N40" s="2"/>
      <c r="O40" s="2"/>
      <c r="P40" s="2"/>
      <c r="Q40" s="2"/>
      <c r="R40" s="2"/>
      <c r="S40" s="2"/>
      <c r="T40" s="2"/>
      <c r="U40" s="2"/>
      <c r="V40" s="2"/>
      <c r="W40" s="2"/>
      <c r="X40" s="2"/>
      <c r="Y40" s="2"/>
      <c r="Z40" s="2"/>
      <c r="AA40" s="2"/>
      <c r="AB40" s="2"/>
      <c r="AC40" s="2"/>
      <c r="AD40" s="2"/>
      <c r="AE40" s="2"/>
      <c r="AF40" s="2"/>
      <c r="AG40" s="2"/>
      <c r="AH40" s="2"/>
      <c r="AI40" s="2"/>
      <c r="AJ40" s="2"/>
      <c r="AK40" s="2"/>
    </row>
    <row r="41" spans="1:37">
      <c r="B41" s="76" t="s">
        <v>79</v>
      </c>
      <c r="C41" s="77"/>
      <c r="D41" s="77"/>
      <c r="E41" s="77"/>
      <c r="F41" s="77"/>
      <c r="G41" s="106"/>
      <c r="H41" s="107"/>
      <c r="I41" s="79"/>
      <c r="J41" s="79"/>
      <c r="K41" s="80"/>
      <c r="L41" s="77"/>
      <c r="M41" s="77"/>
      <c r="N41" s="81"/>
      <c r="O41" s="81"/>
      <c r="P41" s="82"/>
      <c r="Q41" s="83"/>
      <c r="R41" s="83"/>
      <c r="S41" s="83"/>
      <c r="T41" s="83"/>
      <c r="U41" s="83"/>
      <c r="V41" s="83"/>
      <c r="W41" s="83"/>
      <c r="X41" s="83"/>
      <c r="Y41" s="83"/>
      <c r="Z41" s="83"/>
      <c r="AA41" s="83"/>
      <c r="AB41" s="83"/>
      <c r="AC41" s="83"/>
      <c r="AD41" s="83"/>
      <c r="AE41" s="83"/>
      <c r="AF41" s="83"/>
      <c r="AG41" s="83"/>
      <c r="AH41" s="83"/>
      <c r="AI41" s="83"/>
      <c r="AJ41" s="83"/>
      <c r="AK41" s="2"/>
    </row>
    <row r="42" spans="1:37">
      <c r="B42" s="221" t="s">
        <v>80</v>
      </c>
      <c r="C42" s="222"/>
      <c r="D42" s="216" t="s">
        <v>69</v>
      </c>
      <c r="E42" s="184">
        <v>331682</v>
      </c>
      <c r="F42" s="184">
        <v>307200</v>
      </c>
      <c r="G42" s="86">
        <f t="shared" ref="G42:G48" si="10">F42</f>
        <v>307200</v>
      </c>
      <c r="H42" s="87">
        <f t="shared" ref="H42:H48" si="11">G42+(G42*$H$27)</f>
        <v>313344</v>
      </c>
      <c r="I42" s="87">
        <f t="shared" ref="I42:P42" si="12">H42+(I27*H42)</f>
        <v>319610.88</v>
      </c>
      <c r="J42" s="87">
        <f>I42+(J27*I42)</f>
        <v>326003.09759999998</v>
      </c>
      <c r="K42" s="88">
        <f t="shared" si="12"/>
        <v>332523.159552</v>
      </c>
      <c r="L42" s="85">
        <f t="shared" si="12"/>
        <v>339173.62274303997</v>
      </c>
      <c r="M42" s="85">
        <f t="shared" si="12"/>
        <v>345957.09519790078</v>
      </c>
      <c r="N42" s="85">
        <f>M42+(N27*M42)</f>
        <v>352876.23710185877</v>
      </c>
      <c r="O42" s="85">
        <f t="shared" si="12"/>
        <v>359933.76184389595</v>
      </c>
      <c r="P42" s="89">
        <f t="shared" si="12"/>
        <v>367132.43708077387</v>
      </c>
      <c r="Q42" s="83"/>
      <c r="R42" s="83"/>
      <c r="S42" s="83"/>
      <c r="T42" s="83"/>
      <c r="U42" s="83"/>
      <c r="V42" s="83"/>
      <c r="W42" s="83"/>
      <c r="X42" s="83"/>
      <c r="Y42" s="83"/>
      <c r="Z42" s="83"/>
      <c r="AA42" s="83"/>
      <c r="AB42" s="83"/>
      <c r="AC42" s="83"/>
      <c r="AD42" s="83"/>
      <c r="AE42" s="83"/>
      <c r="AF42" s="83"/>
      <c r="AG42" s="83"/>
      <c r="AH42" s="83"/>
      <c r="AI42" s="83"/>
      <c r="AJ42" s="83"/>
      <c r="AK42" s="2"/>
    </row>
    <row r="43" spans="1:37">
      <c r="B43" s="221" t="s">
        <v>81</v>
      </c>
      <c r="C43" s="222"/>
      <c r="D43" s="216" t="s">
        <v>69</v>
      </c>
      <c r="E43" s="184">
        <v>88662</v>
      </c>
      <c r="F43" s="184">
        <v>83200</v>
      </c>
      <c r="G43" s="86">
        <f t="shared" si="10"/>
        <v>83200</v>
      </c>
      <c r="H43" s="87">
        <f t="shared" si="11"/>
        <v>84864</v>
      </c>
      <c r="I43" s="87">
        <f t="shared" ref="I43:P43" si="13">H43+(I27*H43)</f>
        <v>86561.279999999999</v>
      </c>
      <c r="J43" s="87">
        <f>I43+(J27*I43)</f>
        <v>88292.505600000004</v>
      </c>
      <c r="K43" s="88">
        <f t="shared" si="13"/>
        <v>90058.355712000004</v>
      </c>
      <c r="L43" s="85">
        <f t="shared" si="13"/>
        <v>91859.522826240005</v>
      </c>
      <c r="M43" s="85">
        <f t="shared" si="13"/>
        <v>93696.713282764802</v>
      </c>
      <c r="N43" s="85">
        <f>M43+(N27*M43)</f>
        <v>95570.647548420093</v>
      </c>
      <c r="O43" s="85">
        <f t="shared" si="13"/>
        <v>97482.060499388492</v>
      </c>
      <c r="P43" s="89">
        <f t="shared" si="13"/>
        <v>99431.701709376255</v>
      </c>
      <c r="Q43" s="83"/>
      <c r="R43" s="83"/>
      <c r="S43" s="83"/>
      <c r="T43" s="83"/>
      <c r="U43" s="83"/>
      <c r="V43" s="83"/>
      <c r="W43" s="83"/>
      <c r="X43" s="83"/>
      <c r="Y43" s="83"/>
      <c r="Z43" s="83"/>
      <c r="AA43" s="83"/>
      <c r="AB43" s="83"/>
      <c r="AC43" s="83"/>
      <c r="AD43" s="83"/>
      <c r="AE43" s="83"/>
      <c r="AF43" s="83"/>
      <c r="AG43" s="83"/>
      <c r="AH43" s="83"/>
      <c r="AI43" s="83"/>
      <c r="AJ43" s="83"/>
      <c r="AK43" s="2"/>
    </row>
    <row r="44" spans="1:37">
      <c r="B44" s="221" t="s">
        <v>82</v>
      </c>
      <c r="C44" s="222"/>
      <c r="D44" s="216" t="s">
        <v>69</v>
      </c>
      <c r="E44" s="184">
        <v>64032</v>
      </c>
      <c r="F44" s="184">
        <v>64000</v>
      </c>
      <c r="G44" s="86">
        <f t="shared" si="10"/>
        <v>64000</v>
      </c>
      <c r="H44" s="87">
        <f t="shared" si="11"/>
        <v>65280</v>
      </c>
      <c r="I44" s="87">
        <f t="shared" ref="I44:P44" si="14">H44+(I27*H44)</f>
        <v>66585.600000000006</v>
      </c>
      <c r="J44" s="87">
        <f>I44+(J27*I44)</f>
        <v>67917.312000000005</v>
      </c>
      <c r="K44" s="88">
        <f t="shared" si="14"/>
        <v>69275.658240000004</v>
      </c>
      <c r="L44" s="85">
        <f t="shared" si="14"/>
        <v>70661.171404799999</v>
      </c>
      <c r="M44" s="85">
        <f t="shared" si="14"/>
        <v>72074.394832895996</v>
      </c>
      <c r="N44" s="85">
        <f>M44+(N27*M44)</f>
        <v>73515.882729553909</v>
      </c>
      <c r="O44" s="85">
        <f t="shared" si="14"/>
        <v>74986.200384144991</v>
      </c>
      <c r="P44" s="89">
        <f t="shared" si="14"/>
        <v>76485.924391827895</v>
      </c>
      <c r="Q44" s="83"/>
      <c r="R44" s="83"/>
      <c r="S44" s="83"/>
      <c r="T44" s="83"/>
      <c r="U44" s="83"/>
      <c r="V44" s="83"/>
      <c r="W44" s="83"/>
      <c r="X44" s="83"/>
      <c r="Y44" s="83"/>
      <c r="Z44" s="83"/>
      <c r="AA44" s="83"/>
      <c r="AB44" s="83"/>
      <c r="AC44" s="83"/>
      <c r="AD44" s="83"/>
      <c r="AE44" s="83"/>
      <c r="AF44" s="83"/>
      <c r="AG44" s="83"/>
      <c r="AH44" s="83"/>
      <c r="AI44" s="83"/>
      <c r="AJ44" s="83"/>
      <c r="AK44" s="2"/>
    </row>
    <row r="45" spans="1:37">
      <c r="B45" s="221" t="s">
        <v>83</v>
      </c>
      <c r="C45" s="222"/>
      <c r="D45" s="216" t="s">
        <v>69</v>
      </c>
      <c r="E45" s="184">
        <v>64532</v>
      </c>
      <c r="F45" s="184">
        <v>64000</v>
      </c>
      <c r="G45" s="86">
        <f t="shared" si="10"/>
        <v>64000</v>
      </c>
      <c r="H45" s="87">
        <f t="shared" si="11"/>
        <v>65280</v>
      </c>
      <c r="I45" s="87">
        <f t="shared" ref="I45:P45" si="15">H45+(I27*H45)</f>
        <v>66585.600000000006</v>
      </c>
      <c r="J45" s="87">
        <f>I45+(J27*I45)</f>
        <v>67917.312000000005</v>
      </c>
      <c r="K45" s="88">
        <f t="shared" si="15"/>
        <v>69275.658240000004</v>
      </c>
      <c r="L45" s="85">
        <f t="shared" si="15"/>
        <v>70661.171404799999</v>
      </c>
      <c r="M45" s="85">
        <f t="shared" si="15"/>
        <v>72074.394832895996</v>
      </c>
      <c r="N45" s="85">
        <f>M45+(N27*M45)</f>
        <v>73515.882729553909</v>
      </c>
      <c r="O45" s="85">
        <f t="shared" si="15"/>
        <v>74986.200384144991</v>
      </c>
      <c r="P45" s="89">
        <f t="shared" si="15"/>
        <v>76485.924391827895</v>
      </c>
      <c r="Q45" s="83"/>
      <c r="R45" s="83"/>
      <c r="S45" s="83"/>
      <c r="T45" s="83"/>
      <c r="U45" s="83"/>
      <c r="V45" s="83"/>
      <c r="W45" s="83"/>
      <c r="X45" s="83"/>
      <c r="Y45" s="83"/>
      <c r="Z45" s="83"/>
      <c r="AA45" s="83"/>
      <c r="AB45" s="83"/>
      <c r="AC45" s="83"/>
      <c r="AD45" s="83"/>
      <c r="AE45" s="83"/>
      <c r="AF45" s="83"/>
      <c r="AG45" s="83"/>
      <c r="AH45" s="83"/>
      <c r="AI45" s="83"/>
      <c r="AJ45" s="83"/>
      <c r="AK45" s="2"/>
    </row>
    <row r="46" spans="1:37">
      <c r="B46" s="221" t="s">
        <v>84</v>
      </c>
      <c r="C46" s="222"/>
      <c r="D46" s="216" t="s">
        <v>69</v>
      </c>
      <c r="E46" s="184">
        <v>51673</v>
      </c>
      <c r="F46" s="184">
        <v>51200</v>
      </c>
      <c r="G46" s="86">
        <f t="shared" si="10"/>
        <v>51200</v>
      </c>
      <c r="H46" s="87">
        <f t="shared" si="11"/>
        <v>52224</v>
      </c>
      <c r="I46" s="87">
        <f t="shared" ref="I46:P46" si="16">H46+(I27*H46)</f>
        <v>53268.480000000003</v>
      </c>
      <c r="J46" s="87">
        <f>I46+(J27*I46)</f>
        <v>54333.849600000001</v>
      </c>
      <c r="K46" s="88">
        <f t="shared" si="16"/>
        <v>55420.526592000002</v>
      </c>
      <c r="L46" s="85">
        <f t="shared" si="16"/>
        <v>56528.937123840005</v>
      </c>
      <c r="M46" s="85">
        <f t="shared" si="16"/>
        <v>57659.515866316804</v>
      </c>
      <c r="N46" s="85">
        <f>M46+(N27*M46)</f>
        <v>58812.706183643139</v>
      </c>
      <c r="O46" s="85">
        <f t="shared" si="16"/>
        <v>59988.960307316003</v>
      </c>
      <c r="P46" s="89">
        <f t="shared" si="16"/>
        <v>61188.739513462322</v>
      </c>
      <c r="Q46" s="83"/>
      <c r="R46" s="83"/>
      <c r="S46" s="83"/>
      <c r="T46" s="83"/>
      <c r="U46" s="83"/>
      <c r="V46" s="83"/>
      <c r="W46" s="83"/>
      <c r="X46" s="83"/>
      <c r="Y46" s="83"/>
      <c r="Z46" s="83"/>
      <c r="AA46" s="83"/>
      <c r="AB46" s="83"/>
      <c r="AC46" s="83"/>
      <c r="AD46" s="83"/>
      <c r="AE46" s="83"/>
      <c r="AF46" s="83"/>
      <c r="AG46" s="83"/>
      <c r="AH46" s="83"/>
      <c r="AI46" s="83"/>
      <c r="AJ46" s="83"/>
      <c r="AK46" s="2"/>
    </row>
    <row r="47" spans="1:37">
      <c r="B47" s="221" t="s">
        <v>85</v>
      </c>
      <c r="C47" s="222"/>
      <c r="D47" s="216" t="s">
        <v>69</v>
      </c>
      <c r="E47" s="184">
        <v>92010</v>
      </c>
      <c r="F47" s="184">
        <v>89600</v>
      </c>
      <c r="G47" s="86">
        <f t="shared" si="10"/>
        <v>89600</v>
      </c>
      <c r="H47" s="87">
        <f t="shared" si="11"/>
        <v>91392</v>
      </c>
      <c r="I47" s="87">
        <f t="shared" ref="I47:P47" si="17">H47+(I27*H47)</f>
        <v>93219.839999999997</v>
      </c>
      <c r="J47" s="87">
        <f>I47+(J27*I47)</f>
        <v>95084.236799999999</v>
      </c>
      <c r="K47" s="88">
        <f t="shared" si="17"/>
        <v>96985.921535999994</v>
      </c>
      <c r="L47" s="85">
        <f t="shared" si="17"/>
        <v>98925.639966719988</v>
      </c>
      <c r="M47" s="85">
        <f t="shared" si="17"/>
        <v>100904.15276605439</v>
      </c>
      <c r="N47" s="85">
        <f>M47+(N27*M47)</f>
        <v>102922.23582137548</v>
      </c>
      <c r="O47" s="85">
        <f t="shared" si="17"/>
        <v>104980.68053780298</v>
      </c>
      <c r="P47" s="89">
        <f t="shared" si="17"/>
        <v>107080.29414855904</v>
      </c>
      <c r="Q47" s="83"/>
      <c r="R47" s="83"/>
      <c r="S47" s="83"/>
      <c r="T47" s="83"/>
      <c r="U47" s="83"/>
      <c r="V47" s="83"/>
      <c r="W47" s="83"/>
      <c r="X47" s="83"/>
      <c r="Y47" s="83"/>
      <c r="Z47" s="83"/>
      <c r="AA47" s="83"/>
      <c r="AB47" s="83"/>
      <c r="AC47" s="83"/>
      <c r="AD47" s="83"/>
      <c r="AE47" s="83"/>
      <c r="AF47" s="83"/>
      <c r="AG47" s="83"/>
      <c r="AH47" s="83"/>
      <c r="AI47" s="83"/>
      <c r="AJ47" s="83"/>
      <c r="AK47" s="2"/>
    </row>
    <row r="48" spans="1:37">
      <c r="B48" s="221" t="s">
        <v>86</v>
      </c>
      <c r="C48" s="222"/>
      <c r="D48" s="216" t="s">
        <v>69</v>
      </c>
      <c r="E48" s="184">
        <v>185092</v>
      </c>
      <c r="F48" s="184">
        <v>179200</v>
      </c>
      <c r="G48" s="86">
        <f t="shared" si="10"/>
        <v>179200</v>
      </c>
      <c r="H48" s="87">
        <f t="shared" si="11"/>
        <v>182784</v>
      </c>
      <c r="I48" s="87">
        <f t="shared" ref="I48:P48" si="18">H48+($H$27*H48)</f>
        <v>186439.67999999999</v>
      </c>
      <c r="J48" s="87">
        <f t="shared" si="18"/>
        <v>190168.4736</v>
      </c>
      <c r="K48" s="88">
        <f t="shared" si="18"/>
        <v>193971.84307199999</v>
      </c>
      <c r="L48" s="85">
        <f t="shared" si="18"/>
        <v>197851.27993343998</v>
      </c>
      <c r="M48" s="85">
        <f t="shared" si="18"/>
        <v>201808.30553210879</v>
      </c>
      <c r="N48" s="85">
        <f t="shared" si="18"/>
        <v>205844.47164275096</v>
      </c>
      <c r="O48" s="85">
        <f t="shared" si="18"/>
        <v>209961.36107560596</v>
      </c>
      <c r="P48" s="89">
        <f t="shared" si="18"/>
        <v>214160.58829711808</v>
      </c>
      <c r="Q48" s="83"/>
      <c r="R48" s="83"/>
      <c r="S48" s="83"/>
      <c r="T48" s="83"/>
      <c r="U48" s="83"/>
      <c r="V48" s="83"/>
      <c r="W48" s="83"/>
      <c r="X48" s="83"/>
      <c r="Y48" s="83"/>
      <c r="Z48" s="83"/>
      <c r="AA48" s="83"/>
      <c r="AB48" s="83"/>
      <c r="AC48" s="83"/>
      <c r="AD48" s="83"/>
      <c r="AE48" s="83"/>
      <c r="AF48" s="83"/>
      <c r="AG48" s="83"/>
      <c r="AH48" s="83"/>
      <c r="AI48" s="83"/>
      <c r="AJ48" s="83"/>
      <c r="AK48" s="2"/>
    </row>
    <row r="49" spans="2:37">
      <c r="B49" s="221" t="s">
        <v>87</v>
      </c>
      <c r="C49" s="222"/>
      <c r="D49" s="216" t="s">
        <v>71</v>
      </c>
      <c r="E49" s="185">
        <v>3.1300000000000001E-2</v>
      </c>
      <c r="F49" s="185">
        <v>3.5000000000000003E-2</v>
      </c>
      <c r="G49" s="86">
        <f>F49*G39</f>
        <v>131391.05266494013</v>
      </c>
      <c r="H49" s="87">
        <f>$F$49*H39</f>
        <v>139530.38856488833</v>
      </c>
      <c r="I49" s="87">
        <f t="shared" ref="I49:P49" si="19">$F$49*I39</f>
        <v>143716.30022183497</v>
      </c>
      <c r="J49" s="87">
        <f t="shared" si="19"/>
        <v>148027.78922849006</v>
      </c>
      <c r="K49" s="88">
        <f t="shared" si="19"/>
        <v>152468.62290534473</v>
      </c>
      <c r="L49" s="85">
        <f t="shared" si="19"/>
        <v>157042.68159250508</v>
      </c>
      <c r="M49" s="85">
        <f t="shared" si="19"/>
        <v>161753.96204028022</v>
      </c>
      <c r="N49" s="85">
        <f t="shared" si="19"/>
        <v>166606.5809014886</v>
      </c>
      <c r="O49" s="85">
        <f t="shared" si="19"/>
        <v>171604.77832853323</v>
      </c>
      <c r="P49" s="89">
        <f t="shared" si="19"/>
        <v>176752.92167838928</v>
      </c>
      <c r="Q49" s="83"/>
      <c r="R49" s="83"/>
      <c r="S49" s="83"/>
      <c r="T49" s="83"/>
      <c r="U49" s="83"/>
      <c r="V49" s="83"/>
      <c r="W49" s="83"/>
      <c r="X49" s="83"/>
      <c r="Y49" s="83"/>
      <c r="Z49" s="83"/>
      <c r="AA49" s="83"/>
      <c r="AB49" s="83"/>
      <c r="AC49" s="83"/>
      <c r="AD49" s="83"/>
      <c r="AE49" s="83"/>
      <c r="AF49" s="83"/>
      <c r="AG49" s="83"/>
      <c r="AH49" s="83"/>
      <c r="AI49" s="83"/>
      <c r="AJ49" s="83"/>
      <c r="AK49" s="2"/>
    </row>
    <row r="50" spans="2:37">
      <c r="B50" s="221" t="s">
        <v>88</v>
      </c>
      <c r="C50" s="222"/>
      <c r="D50" s="216" t="s">
        <v>69</v>
      </c>
      <c r="E50" s="184">
        <v>840442</v>
      </c>
      <c r="F50" s="184">
        <v>767540</v>
      </c>
      <c r="G50" s="86">
        <f>F50</f>
        <v>767540</v>
      </c>
      <c r="H50" s="87">
        <f>G50+(G50*$H$27)</f>
        <v>782890.8</v>
      </c>
      <c r="I50" s="87">
        <f t="shared" ref="I50:P50" si="20">H50+(I27*H50)</f>
        <v>798548.61600000004</v>
      </c>
      <c r="J50" s="87">
        <f>I50+(J27*I50)</f>
        <v>814519.5883200001</v>
      </c>
      <c r="K50" s="88">
        <f t="shared" si="20"/>
        <v>830809.98008640006</v>
      </c>
      <c r="L50" s="85">
        <f t="shared" si="20"/>
        <v>847426.17968812806</v>
      </c>
      <c r="M50" s="85">
        <f t="shared" si="20"/>
        <v>864374.7032818906</v>
      </c>
      <c r="N50" s="85">
        <f>M50+(N27*M50)</f>
        <v>881662.19734752842</v>
      </c>
      <c r="O50" s="85">
        <f t="shared" si="20"/>
        <v>899295.44129447895</v>
      </c>
      <c r="P50" s="89">
        <f t="shared" si="20"/>
        <v>917281.35012036853</v>
      </c>
      <c r="Q50" s="83"/>
      <c r="R50" s="83"/>
      <c r="S50" s="83"/>
      <c r="T50" s="83"/>
      <c r="U50" s="83"/>
      <c r="V50" s="83"/>
      <c r="W50" s="83"/>
      <c r="X50" s="83"/>
      <c r="Y50" s="83"/>
      <c r="Z50" s="83"/>
      <c r="AA50" s="83"/>
      <c r="AB50" s="83"/>
      <c r="AC50" s="83"/>
      <c r="AD50" s="83"/>
      <c r="AE50" s="83"/>
      <c r="AF50" s="83"/>
      <c r="AG50" s="83"/>
      <c r="AH50" s="83"/>
      <c r="AI50" s="83"/>
      <c r="AJ50" s="83"/>
      <c r="AK50" s="2"/>
    </row>
    <row r="51" spans="2:37">
      <c r="B51" s="221" t="s">
        <v>89</v>
      </c>
      <c r="C51" s="222"/>
      <c r="D51" s="216" t="s">
        <v>69</v>
      </c>
      <c r="E51" s="184">
        <v>31589</v>
      </c>
      <c r="F51" s="184">
        <v>57600</v>
      </c>
      <c r="G51" s="86">
        <f>F51</f>
        <v>57600</v>
      </c>
      <c r="H51" s="87">
        <f>G51+(G51*$H$27)</f>
        <v>58752</v>
      </c>
      <c r="I51" s="87">
        <f t="shared" ref="I51:P51" si="21">H51+(I27*H51)</f>
        <v>59927.040000000001</v>
      </c>
      <c r="J51" s="87">
        <f>I51+(J27*I51)</f>
        <v>61125.580800000003</v>
      </c>
      <c r="K51" s="88">
        <f t="shared" si="21"/>
        <v>62348.092416000007</v>
      </c>
      <c r="L51" s="85">
        <f t="shared" si="21"/>
        <v>63595.05426432001</v>
      </c>
      <c r="M51" s="85">
        <f t="shared" si="21"/>
        <v>64866.955349606411</v>
      </c>
      <c r="N51" s="85">
        <f>M51+(N27*M51)</f>
        <v>66164.294456598538</v>
      </c>
      <c r="O51" s="85">
        <f t="shared" si="21"/>
        <v>67487.580345730516</v>
      </c>
      <c r="P51" s="89">
        <f t="shared" si="21"/>
        <v>68837.331952645123</v>
      </c>
      <c r="Q51" s="83"/>
      <c r="R51" s="83"/>
      <c r="S51" s="83"/>
      <c r="T51" s="83"/>
      <c r="U51" s="83"/>
      <c r="V51" s="83"/>
      <c r="W51" s="83"/>
      <c r="X51" s="83"/>
      <c r="Y51" s="83"/>
      <c r="Z51" s="83"/>
      <c r="AA51" s="83"/>
      <c r="AB51" s="83"/>
      <c r="AC51" s="83"/>
      <c r="AD51" s="83"/>
      <c r="AE51" s="83"/>
      <c r="AF51" s="83"/>
      <c r="AG51" s="83"/>
      <c r="AH51" s="83"/>
      <c r="AI51" s="83"/>
      <c r="AJ51" s="83"/>
      <c r="AK51" s="2"/>
    </row>
    <row r="52" spans="2:37">
      <c r="B52" s="221" t="s">
        <v>90</v>
      </c>
      <c r="C52" s="222"/>
      <c r="D52" s="216" t="s">
        <v>69</v>
      </c>
      <c r="E52" s="184">
        <v>64000</v>
      </c>
      <c r="F52" s="184">
        <v>64000</v>
      </c>
      <c r="G52" s="86">
        <f>F52</f>
        <v>64000</v>
      </c>
      <c r="H52" s="87">
        <f>G52</f>
        <v>64000</v>
      </c>
      <c r="I52" s="87">
        <f>H52</f>
        <v>64000</v>
      </c>
      <c r="J52" s="87">
        <f>I52</f>
        <v>64000</v>
      </c>
      <c r="K52" s="88">
        <f>J52</f>
        <v>64000</v>
      </c>
      <c r="L52" s="85">
        <f>K52</f>
        <v>64000</v>
      </c>
      <c r="M52" s="85">
        <f>K52</f>
        <v>64000</v>
      </c>
      <c r="N52" s="85">
        <f>L52</f>
        <v>64000</v>
      </c>
      <c r="O52" s="85">
        <f>M52</f>
        <v>64000</v>
      </c>
      <c r="P52" s="89">
        <f>O52</f>
        <v>64000</v>
      </c>
      <c r="Q52" s="83"/>
      <c r="R52" s="83"/>
      <c r="S52" s="83"/>
      <c r="T52" s="83"/>
      <c r="U52" s="83"/>
      <c r="V52" s="83"/>
      <c r="W52" s="83"/>
      <c r="X52" s="83"/>
      <c r="Y52" s="83"/>
      <c r="Z52" s="83"/>
      <c r="AA52" s="83"/>
      <c r="AB52" s="83"/>
      <c r="AC52" s="83"/>
      <c r="AD52" s="83"/>
      <c r="AE52" s="83"/>
      <c r="AF52" s="83"/>
      <c r="AG52" s="83"/>
      <c r="AH52" s="83"/>
      <c r="AI52" s="83"/>
      <c r="AJ52" s="83"/>
      <c r="AK52" s="2"/>
    </row>
    <row r="53" spans="2:37">
      <c r="B53" s="221" t="s">
        <v>91</v>
      </c>
      <c r="C53" s="222"/>
      <c r="D53" s="216" t="s">
        <v>71</v>
      </c>
      <c r="E53" s="187">
        <v>0</v>
      </c>
      <c r="F53" s="187">
        <v>0.02</v>
      </c>
      <c r="G53" s="86">
        <f>F53*G39</f>
        <v>75080.601522822937</v>
      </c>
      <c r="H53" s="87">
        <f>$F$53*H39</f>
        <v>79731.650608507611</v>
      </c>
      <c r="I53" s="87">
        <f t="shared" ref="I53:P53" si="22">$F$53*I39</f>
        <v>82123.600126762845</v>
      </c>
      <c r="J53" s="87">
        <f t="shared" si="22"/>
        <v>84587.30813056574</v>
      </c>
      <c r="K53" s="88">
        <f t="shared" si="22"/>
        <v>87124.927374482693</v>
      </c>
      <c r="L53" s="85">
        <f t="shared" si="22"/>
        <v>89738.67519571718</v>
      </c>
      <c r="M53" s="85">
        <f t="shared" si="22"/>
        <v>92430.835451588689</v>
      </c>
      <c r="N53" s="85">
        <f t="shared" si="22"/>
        <v>95203.760515136324</v>
      </c>
      <c r="O53" s="85">
        <f t="shared" si="22"/>
        <v>98059.873330590417</v>
      </c>
      <c r="P53" s="89">
        <f t="shared" si="22"/>
        <v>101001.66953050815</v>
      </c>
      <c r="Q53" s="83"/>
      <c r="R53" s="83"/>
      <c r="S53" s="83"/>
      <c r="T53" s="83"/>
      <c r="U53" s="83"/>
      <c r="V53" s="83"/>
      <c r="W53" s="83"/>
      <c r="X53" s="83"/>
      <c r="Y53" s="83"/>
      <c r="Z53" s="83"/>
      <c r="AA53" s="83"/>
      <c r="AB53" s="83"/>
      <c r="AC53" s="83"/>
      <c r="AD53" s="83"/>
      <c r="AE53" s="83"/>
      <c r="AF53" s="83"/>
      <c r="AG53" s="83"/>
      <c r="AH53" s="83"/>
      <c r="AI53" s="83"/>
      <c r="AJ53" s="83"/>
      <c r="AK53" s="2"/>
    </row>
    <row r="54" spans="2:37">
      <c r="B54" s="221" t="s">
        <v>92</v>
      </c>
      <c r="C54" s="222"/>
      <c r="D54" s="216" t="s">
        <v>69</v>
      </c>
      <c r="E54" s="184">
        <v>0</v>
      </c>
      <c r="F54" s="184">
        <v>0</v>
      </c>
      <c r="G54" s="86">
        <f>F54</f>
        <v>0</v>
      </c>
      <c r="H54" s="87">
        <f>G54+(G54*$H$27)</f>
        <v>0</v>
      </c>
      <c r="I54" s="87">
        <f t="shared" ref="I54:P54" si="23">H54+(H54*$H$27)</f>
        <v>0</v>
      </c>
      <c r="J54" s="87">
        <f t="shared" si="23"/>
        <v>0</v>
      </c>
      <c r="K54" s="88">
        <f t="shared" si="23"/>
        <v>0</v>
      </c>
      <c r="L54" s="85">
        <f t="shared" si="23"/>
        <v>0</v>
      </c>
      <c r="M54" s="85">
        <f t="shared" si="23"/>
        <v>0</v>
      </c>
      <c r="N54" s="85">
        <f t="shared" si="23"/>
        <v>0</v>
      </c>
      <c r="O54" s="85">
        <f t="shared" si="23"/>
        <v>0</v>
      </c>
      <c r="P54" s="89">
        <f t="shared" si="23"/>
        <v>0</v>
      </c>
      <c r="Q54" s="97"/>
      <c r="R54" s="97"/>
      <c r="S54" s="97"/>
      <c r="T54" s="97"/>
      <c r="U54" s="97"/>
      <c r="V54" s="97"/>
      <c r="W54" s="97"/>
      <c r="X54" s="97"/>
      <c r="Y54" s="97"/>
      <c r="Z54" s="97"/>
      <c r="AA54" s="97"/>
      <c r="AB54" s="97"/>
      <c r="AC54" s="97"/>
      <c r="AD54" s="97"/>
      <c r="AE54" s="97"/>
      <c r="AF54" s="97"/>
      <c r="AG54" s="97"/>
      <c r="AH54" s="97"/>
      <c r="AI54" s="97"/>
      <c r="AJ54" s="97"/>
      <c r="AK54" s="2"/>
    </row>
    <row r="55" spans="2:37">
      <c r="B55" s="230" t="s">
        <v>93</v>
      </c>
      <c r="C55" s="229"/>
      <c r="D55" s="108"/>
      <c r="E55" s="108">
        <f>SUM(E42:E48,E50:E52,E54)+(E49*E39)+(E53*E39)</f>
        <v>1920945.538888</v>
      </c>
      <c r="F55" s="108">
        <f>SUM(F42:F48,F50:F52,F54)+(F49*F39)+(F53*F39)</f>
        <v>1940415.7661877631</v>
      </c>
      <c r="G55" s="109">
        <f>SUM(G42:G54)</f>
        <v>1934011.6541877631</v>
      </c>
      <c r="H55" s="110">
        <f>SUM(H42:H54)</f>
        <v>1980072.8391733961</v>
      </c>
      <c r="I55" s="110">
        <f t="shared" ref="I55:L55" si="24">SUM(I42:I53)</f>
        <v>2020586.916348598</v>
      </c>
      <c r="J55" s="110">
        <f t="shared" si="24"/>
        <v>2061977.0536790562</v>
      </c>
      <c r="K55" s="111">
        <f t="shared" si="24"/>
        <v>2104262.7457262273</v>
      </c>
      <c r="L55" s="108">
        <f t="shared" si="24"/>
        <v>2147463.9361435506</v>
      </c>
      <c r="M55" s="108">
        <f t="shared" ref="M55:P55" si="25">SUM(M42:M53)</f>
        <v>2191601.0284343031</v>
      </c>
      <c r="N55" s="108">
        <f t="shared" si="25"/>
        <v>2236694.8969779084</v>
      </c>
      <c r="O55" s="108">
        <f t="shared" si="25"/>
        <v>2282766.8983316324</v>
      </c>
      <c r="P55" s="112">
        <f t="shared" si="25"/>
        <v>2329838.8828148562</v>
      </c>
      <c r="Q55" s="54"/>
      <c r="R55" s="54"/>
      <c r="S55" s="54"/>
      <c r="T55" s="54"/>
      <c r="U55" s="54"/>
      <c r="V55" s="54"/>
      <c r="W55" s="54"/>
      <c r="X55" s="54"/>
      <c r="Y55" s="54"/>
      <c r="Z55" s="54"/>
      <c r="AA55" s="54"/>
      <c r="AB55" s="54"/>
      <c r="AC55" s="54"/>
      <c r="AD55" s="54"/>
      <c r="AE55" s="54"/>
      <c r="AF55" s="54"/>
      <c r="AG55" s="54"/>
      <c r="AH55" s="54"/>
      <c r="AI55" s="54"/>
      <c r="AJ55" s="54"/>
      <c r="AK55" s="2"/>
    </row>
    <row r="56" spans="2:37">
      <c r="B56" s="113" t="s">
        <v>94</v>
      </c>
      <c r="C56" s="114"/>
      <c r="D56" s="114"/>
      <c r="E56" s="115">
        <f>(E55-E33)/E31</f>
        <v>0.58275431270682709</v>
      </c>
      <c r="F56" s="115">
        <f>(F55-F33)/F31</f>
        <v>0.5499422268395382</v>
      </c>
      <c r="G56" s="116">
        <f>(G55-G33)/G31</f>
        <v>0.57829222683953829</v>
      </c>
      <c r="H56" s="58">
        <f>(H55-H33)/H31</f>
        <v>0.54530072932935847</v>
      </c>
      <c r="I56" s="58">
        <f>(I55-I33)/I31</f>
        <v>0.54071362060953498</v>
      </c>
      <c r="J56" s="58">
        <f t="shared" ref="J56:P56" si="26">(J55-J33)/J31</f>
        <v>0.53618010101100433</v>
      </c>
      <c r="K56" s="59">
        <f t="shared" si="26"/>
        <v>0.53169938653981619</v>
      </c>
      <c r="L56" s="115">
        <f t="shared" si="26"/>
        <v>0.52727070849452262</v>
      </c>
      <c r="M56" s="115">
        <f t="shared" si="26"/>
        <v>0.52289331309398834</v>
      </c>
      <c r="N56" s="115">
        <f t="shared" si="26"/>
        <v>0.51856646111533689</v>
      </c>
      <c r="O56" s="115">
        <f t="shared" si="26"/>
        <v>0.51428942754173157</v>
      </c>
      <c r="P56" s="117">
        <f t="shared" si="26"/>
        <v>0.5100615012197236</v>
      </c>
      <c r="Q56" s="2"/>
      <c r="R56" s="2"/>
      <c r="S56" s="2"/>
      <c r="T56" s="2"/>
      <c r="U56" s="2"/>
      <c r="V56" s="2"/>
      <c r="W56" s="2"/>
      <c r="X56" s="2"/>
      <c r="Y56" s="2"/>
      <c r="Z56" s="2"/>
      <c r="AA56" s="2"/>
      <c r="AB56" s="2"/>
      <c r="AC56" s="2"/>
      <c r="AD56" s="2"/>
      <c r="AE56" s="2"/>
      <c r="AF56" s="2"/>
      <c r="AG56" s="2"/>
      <c r="AH56" s="2"/>
      <c r="AI56" s="2"/>
      <c r="AJ56" s="2"/>
      <c r="AK56" s="2"/>
    </row>
    <row r="57" spans="2:37">
      <c r="B57" s="67"/>
      <c r="C57" s="67"/>
      <c r="D57" s="67"/>
      <c r="E57" s="67"/>
      <c r="F57" s="67"/>
      <c r="G57" s="86"/>
      <c r="H57" s="87"/>
      <c r="I57" s="104"/>
      <c r="J57" s="104"/>
      <c r="K57" s="105"/>
      <c r="L57" s="67"/>
      <c r="M57" s="67"/>
      <c r="N57" s="2"/>
      <c r="O57" s="2"/>
      <c r="P57" s="2"/>
      <c r="Q57" s="97"/>
      <c r="R57" s="97"/>
      <c r="S57" s="97"/>
      <c r="T57" s="97"/>
      <c r="U57" s="97"/>
      <c r="V57" s="97"/>
      <c r="W57" s="97"/>
      <c r="X57" s="97"/>
      <c r="Y57" s="97"/>
      <c r="Z57" s="97"/>
      <c r="AA57" s="97"/>
      <c r="AB57" s="97"/>
      <c r="AC57" s="97"/>
      <c r="AD57" s="97"/>
      <c r="AE57" s="97"/>
      <c r="AF57" s="97"/>
      <c r="AG57" s="97"/>
      <c r="AH57" s="97"/>
      <c r="AI57" s="97"/>
      <c r="AJ57" s="97"/>
      <c r="AK57" s="2"/>
    </row>
    <row r="58" spans="2:37">
      <c r="B58" s="118" t="s">
        <v>95</v>
      </c>
      <c r="C58" s="119"/>
      <c r="D58" s="120"/>
      <c r="E58" s="121">
        <f>(E39)-E55</f>
        <v>1504982.2211119998</v>
      </c>
      <c r="F58" s="122">
        <f>F39-F55</f>
        <v>1930052.7099533833</v>
      </c>
      <c r="G58" s="123">
        <f>G39-G55</f>
        <v>1820018.4219533834</v>
      </c>
      <c r="H58" s="124">
        <f>H39-H55</f>
        <v>2006509.6912519843</v>
      </c>
      <c r="I58" s="124">
        <f t="shared" ref="I58:P58" si="27">I39-I55</f>
        <v>2085593.0899895439</v>
      </c>
      <c r="J58" s="124">
        <f t="shared" si="27"/>
        <v>2167388.3528492302</v>
      </c>
      <c r="K58" s="125">
        <f t="shared" si="27"/>
        <v>2251983.6229979075</v>
      </c>
      <c r="L58" s="122">
        <f t="shared" si="27"/>
        <v>2339469.8236423084</v>
      </c>
      <c r="M58" s="122">
        <f t="shared" si="27"/>
        <v>2429940.7441451312</v>
      </c>
      <c r="N58" s="122">
        <f t="shared" si="27"/>
        <v>2523493.1287789079</v>
      </c>
      <c r="O58" s="122">
        <f t="shared" si="27"/>
        <v>2620226.768197888</v>
      </c>
      <c r="P58" s="126">
        <f t="shared" si="27"/>
        <v>2720244.593710551</v>
      </c>
      <c r="Q58" s="2"/>
      <c r="R58" s="2"/>
      <c r="S58" s="2"/>
      <c r="T58" s="2"/>
      <c r="U58" s="2"/>
      <c r="V58" s="2"/>
      <c r="W58" s="2"/>
      <c r="X58" s="2"/>
      <c r="Y58" s="2"/>
      <c r="Z58" s="2"/>
      <c r="AA58" s="2"/>
      <c r="AB58" s="2"/>
      <c r="AC58" s="2"/>
      <c r="AD58" s="2"/>
      <c r="AE58" s="2"/>
      <c r="AF58" s="2"/>
      <c r="AG58" s="2"/>
      <c r="AH58" s="2"/>
      <c r="AI58" s="2"/>
      <c r="AJ58" s="2"/>
      <c r="AK58" s="2"/>
    </row>
    <row r="59" spans="2:37">
      <c r="B59" s="2"/>
      <c r="C59" s="2"/>
      <c r="D59" s="2"/>
      <c r="E59" s="2"/>
      <c r="F59" s="2"/>
      <c r="G59" s="86"/>
      <c r="H59" s="87"/>
      <c r="I59" s="127"/>
      <c r="J59" s="127"/>
      <c r="K59" s="128"/>
      <c r="L59" s="2"/>
      <c r="M59" s="2"/>
      <c r="N59" s="2"/>
      <c r="O59" s="2"/>
      <c r="P59" s="2"/>
      <c r="Q59" s="2"/>
      <c r="R59" s="2"/>
      <c r="S59" s="2"/>
      <c r="T59" s="2"/>
      <c r="U59" s="2"/>
      <c r="V59" s="2"/>
      <c r="W59" s="2"/>
      <c r="X59" s="2"/>
      <c r="Y59" s="2"/>
      <c r="Z59" s="2"/>
      <c r="AA59" s="2"/>
      <c r="AB59" s="2"/>
      <c r="AC59" s="2"/>
      <c r="AD59" s="2"/>
      <c r="AE59" s="2"/>
      <c r="AF59" s="2"/>
      <c r="AG59" s="2"/>
      <c r="AH59" s="2"/>
      <c r="AI59" s="2"/>
      <c r="AJ59" s="2"/>
      <c r="AK59" s="2"/>
    </row>
    <row r="60" spans="2:37" ht="15.95" thickBot="1">
      <c r="B60" s="241" t="s">
        <v>96</v>
      </c>
      <c r="C60" s="242"/>
      <c r="D60" s="77"/>
      <c r="E60" s="77"/>
      <c r="F60" s="77"/>
      <c r="G60" s="106"/>
      <c r="H60" s="107"/>
      <c r="I60" s="79"/>
      <c r="J60" s="79"/>
      <c r="K60" s="80"/>
      <c r="L60" s="77"/>
      <c r="M60" s="77"/>
      <c r="N60" s="81"/>
      <c r="O60" s="81"/>
      <c r="P60" s="82"/>
      <c r="Q60" s="83"/>
      <c r="R60" s="83"/>
      <c r="S60" s="83"/>
      <c r="T60" s="83"/>
      <c r="U60" s="83"/>
      <c r="V60" s="83"/>
      <c r="W60" s="83"/>
      <c r="X60" s="83"/>
      <c r="Y60" s="83"/>
      <c r="Z60" s="83"/>
      <c r="AA60" s="83"/>
      <c r="AB60" s="83"/>
      <c r="AC60" s="83"/>
      <c r="AD60" s="83"/>
      <c r="AE60" s="83"/>
      <c r="AF60" s="83"/>
      <c r="AG60" s="83"/>
      <c r="AH60" s="83"/>
      <c r="AI60" s="83"/>
      <c r="AJ60" s="83"/>
      <c r="AK60" s="2"/>
    </row>
    <row r="61" spans="2:37">
      <c r="B61" s="189" t="s">
        <v>97</v>
      </c>
      <c r="C61" s="190">
        <v>0.8</v>
      </c>
      <c r="D61" s="220" t="s">
        <v>98</v>
      </c>
      <c r="E61" s="220"/>
      <c r="F61" s="85">
        <f>F58</f>
        <v>1930052.7099533833</v>
      </c>
      <c r="G61" s="86">
        <f>G58</f>
        <v>1820018.4219533834</v>
      </c>
      <c r="H61" s="87">
        <f>H58</f>
        <v>2006509.6912519843</v>
      </c>
      <c r="I61" s="87">
        <f t="shared" ref="I61:P61" si="28">I58</f>
        <v>2085593.0899895439</v>
      </c>
      <c r="J61" s="87">
        <f t="shared" si="28"/>
        <v>2167388.3528492302</v>
      </c>
      <c r="K61" s="88">
        <f t="shared" si="28"/>
        <v>2251983.6229979075</v>
      </c>
      <c r="L61" s="85">
        <f t="shared" si="28"/>
        <v>2339469.8236423084</v>
      </c>
      <c r="M61" s="85">
        <f t="shared" si="28"/>
        <v>2429940.7441451312</v>
      </c>
      <c r="N61" s="85">
        <f t="shared" si="28"/>
        <v>2523493.1287789079</v>
      </c>
      <c r="O61" s="85">
        <f t="shared" si="28"/>
        <v>2620226.768197888</v>
      </c>
      <c r="P61" s="89">
        <f t="shared" si="28"/>
        <v>2720244.593710551</v>
      </c>
      <c r="Q61" s="83"/>
      <c r="R61" s="83"/>
      <c r="S61" s="83"/>
      <c r="T61" s="83"/>
      <c r="U61" s="83"/>
      <c r="V61" s="83"/>
      <c r="W61" s="83"/>
      <c r="X61" s="83"/>
      <c r="Y61" s="83"/>
      <c r="Z61" s="83"/>
      <c r="AA61" s="83"/>
      <c r="AB61" s="83"/>
      <c r="AC61" s="83"/>
      <c r="AD61" s="83"/>
      <c r="AE61" s="83"/>
      <c r="AF61" s="83"/>
      <c r="AG61" s="83"/>
      <c r="AH61" s="83"/>
      <c r="AI61" s="83"/>
      <c r="AJ61" s="83"/>
      <c r="AK61" s="2"/>
    </row>
    <row r="62" spans="2:37">
      <c r="B62" s="191" t="s">
        <v>99</v>
      </c>
      <c r="C62" s="192">
        <v>5.28E-2</v>
      </c>
      <c r="D62" s="220" t="s">
        <v>100</v>
      </c>
      <c r="E62" s="220"/>
      <c r="F62" s="85">
        <f>-PMT(C62,C63,C8)</f>
        <v>1477131.638108481</v>
      </c>
      <c r="G62" s="86">
        <f t="shared" ref="G62:P62" si="29">F62</f>
        <v>1477131.638108481</v>
      </c>
      <c r="H62" s="87">
        <f t="shared" si="29"/>
        <v>1477131.638108481</v>
      </c>
      <c r="I62" s="87">
        <f t="shared" si="29"/>
        <v>1477131.638108481</v>
      </c>
      <c r="J62" s="87">
        <f t="shared" si="29"/>
        <v>1477131.638108481</v>
      </c>
      <c r="K62" s="88">
        <f t="shared" si="29"/>
        <v>1477131.638108481</v>
      </c>
      <c r="L62" s="85">
        <f t="shared" si="29"/>
        <v>1477131.638108481</v>
      </c>
      <c r="M62" s="85">
        <f t="shared" si="29"/>
        <v>1477131.638108481</v>
      </c>
      <c r="N62" s="85">
        <f t="shared" si="29"/>
        <v>1477131.638108481</v>
      </c>
      <c r="O62" s="85">
        <f t="shared" si="29"/>
        <v>1477131.638108481</v>
      </c>
      <c r="P62" s="85">
        <f t="shared" si="29"/>
        <v>1477131.638108481</v>
      </c>
      <c r="Q62" s="97"/>
      <c r="R62" s="97"/>
      <c r="S62" s="97"/>
      <c r="T62" s="97"/>
      <c r="U62" s="97"/>
      <c r="V62" s="97"/>
      <c r="W62" s="97"/>
      <c r="X62" s="97"/>
      <c r="Y62" s="97"/>
      <c r="Z62" s="97"/>
      <c r="AA62" s="97"/>
      <c r="AB62" s="97"/>
      <c r="AC62" s="97"/>
      <c r="AD62" s="97"/>
      <c r="AE62" s="97"/>
      <c r="AF62" s="97"/>
      <c r="AG62" s="97"/>
      <c r="AH62" s="97"/>
      <c r="AI62" s="97"/>
      <c r="AJ62" s="97"/>
      <c r="AK62" s="2"/>
    </row>
    <row r="63" spans="2:37">
      <c r="B63" s="191" t="s">
        <v>101</v>
      </c>
      <c r="C63" s="193">
        <v>30</v>
      </c>
      <c r="D63" s="229" t="s">
        <v>102</v>
      </c>
      <c r="E63" s="229"/>
      <c r="F63" s="108">
        <f>F61-F62</f>
        <v>452921.07184490236</v>
      </c>
      <c r="G63" s="109">
        <f>G61-G62</f>
        <v>342886.78384490241</v>
      </c>
      <c r="H63" s="110">
        <f>H61-H62</f>
        <v>529378.05314350338</v>
      </c>
      <c r="I63" s="110">
        <f t="shared" ref="I63:P63" si="30">I61-I62</f>
        <v>608461.45188106294</v>
      </c>
      <c r="J63" s="110">
        <f t="shared" si="30"/>
        <v>690256.71474074922</v>
      </c>
      <c r="K63" s="111">
        <f t="shared" si="30"/>
        <v>774851.9848894265</v>
      </c>
      <c r="L63" s="108">
        <f t="shared" si="30"/>
        <v>862338.1855338274</v>
      </c>
      <c r="M63" s="108">
        <f t="shared" si="30"/>
        <v>952809.10603665025</v>
      </c>
      <c r="N63" s="108">
        <f t="shared" si="30"/>
        <v>1046361.490670427</v>
      </c>
      <c r="O63" s="108">
        <f t="shared" si="30"/>
        <v>1143095.1300894071</v>
      </c>
      <c r="P63" s="112">
        <f t="shared" si="30"/>
        <v>1243112.9556020701</v>
      </c>
      <c r="Q63" s="130"/>
      <c r="R63" s="130"/>
      <c r="S63" s="130"/>
      <c r="T63" s="130"/>
      <c r="U63" s="130"/>
      <c r="V63" s="130"/>
      <c r="W63" s="130"/>
      <c r="X63" s="130"/>
      <c r="Y63" s="130"/>
      <c r="Z63" s="130"/>
      <c r="AA63" s="130"/>
      <c r="AB63" s="130"/>
      <c r="AC63" s="130"/>
      <c r="AD63" s="130"/>
      <c r="AE63" s="130"/>
      <c r="AF63" s="130"/>
      <c r="AG63" s="130"/>
      <c r="AH63" s="130"/>
      <c r="AI63" s="130"/>
      <c r="AJ63" s="130"/>
      <c r="AK63" s="2"/>
    </row>
    <row r="64" spans="2:37" ht="15.95" thickBot="1">
      <c r="B64" s="194" t="s">
        <v>103</v>
      </c>
      <c r="C64" s="195">
        <v>7</v>
      </c>
      <c r="D64" s="217" t="s">
        <v>104</v>
      </c>
      <c r="E64" s="217"/>
      <c r="F64" s="131">
        <f>F63/C9</f>
        <v>5.3226908581238339E-2</v>
      </c>
      <c r="G64" s="132">
        <f>G63/C9</f>
        <v>4.0295770349314267E-2</v>
      </c>
      <c r="H64" s="133">
        <f>H63/C9</f>
        <v>6.2212069588213223E-2</v>
      </c>
      <c r="I64" s="134">
        <f>I63/C9</f>
        <v>7.1505884993514457E-2</v>
      </c>
      <c r="J64" s="134">
        <f>J63/C9</f>
        <v>8.1118396420454125E-2</v>
      </c>
      <c r="K64" s="135">
        <f>K63/C9</f>
        <v>9.1059962380870996E-2</v>
      </c>
      <c r="L64" s="136">
        <f>L63/C9</f>
        <v>0.10134126809458265</v>
      </c>
      <c r="M64" s="136">
        <f>M63/C9</f>
        <v>0.11197333560967773</v>
      </c>
      <c r="N64" s="136">
        <f>N63/C9</f>
        <v>0.1229675342327969</v>
      </c>
      <c r="O64" s="136">
        <f>O63/C9</f>
        <v>0.13433559127883268</v>
      </c>
      <c r="P64" s="137">
        <f>P63/C9</f>
        <v>0.14608960314975705</v>
      </c>
      <c r="Q64" s="130"/>
      <c r="R64" s="130"/>
      <c r="S64" s="130"/>
      <c r="T64" s="130"/>
      <c r="U64" s="130"/>
      <c r="V64" s="130"/>
      <c r="W64" s="130"/>
      <c r="X64" s="130"/>
      <c r="Y64" s="130"/>
      <c r="Z64" s="130"/>
      <c r="AA64" s="130"/>
      <c r="AB64" s="130"/>
      <c r="AC64" s="130"/>
      <c r="AD64" s="130"/>
      <c r="AE64" s="130"/>
      <c r="AF64" s="130"/>
      <c r="AG64" s="130"/>
      <c r="AH64" s="130"/>
      <c r="AI64" s="130"/>
      <c r="AJ64" s="130"/>
      <c r="AK64" s="2"/>
    </row>
    <row r="65" spans="2:37">
      <c r="B65" s="138"/>
      <c r="C65" s="138"/>
      <c r="D65" s="139"/>
      <c r="E65" s="139"/>
      <c r="F65" s="97"/>
      <c r="G65" s="140"/>
      <c r="H65" s="141"/>
      <c r="I65" s="141"/>
      <c r="J65" s="141"/>
      <c r="K65" s="142"/>
      <c r="L65" s="130"/>
      <c r="M65" s="130"/>
      <c r="N65" s="130"/>
      <c r="O65" s="130"/>
      <c r="P65" s="130"/>
      <c r="Q65" s="2"/>
      <c r="R65" s="2"/>
      <c r="S65" s="2"/>
      <c r="T65" s="2"/>
      <c r="U65" s="2"/>
      <c r="V65" s="2"/>
      <c r="W65" s="2"/>
      <c r="X65" s="2"/>
      <c r="Y65" s="2"/>
      <c r="Z65" s="2"/>
      <c r="AA65" s="2"/>
      <c r="AB65" s="2"/>
      <c r="AC65" s="2"/>
      <c r="AD65" s="2"/>
      <c r="AE65" s="2"/>
      <c r="AF65" s="2"/>
      <c r="AG65" s="2"/>
      <c r="AH65" s="2"/>
      <c r="AI65" s="2"/>
      <c r="AJ65" s="2"/>
      <c r="AK65" s="2"/>
    </row>
    <row r="66" spans="2:37" ht="15.95" thickBot="1">
      <c r="B66" s="243" t="s">
        <v>105</v>
      </c>
      <c r="C66" s="243"/>
      <c r="D66" s="143"/>
      <c r="E66" s="143"/>
      <c r="F66" s="143"/>
      <c r="G66" s="144"/>
      <c r="H66" s="104"/>
      <c r="I66" s="104"/>
      <c r="J66" s="104"/>
      <c r="K66" s="105"/>
      <c r="L66" s="143"/>
      <c r="M66" s="143"/>
      <c r="N66" s="145"/>
      <c r="O66" s="145"/>
      <c r="P66" s="145"/>
      <c r="Q66" s="146"/>
      <c r="R66" s="146"/>
      <c r="S66" s="146"/>
      <c r="T66" s="146"/>
      <c r="U66" s="146"/>
      <c r="V66" s="146"/>
      <c r="W66" s="146"/>
      <c r="X66" s="146"/>
      <c r="Y66" s="146"/>
      <c r="Z66" s="146"/>
      <c r="AA66" s="146"/>
      <c r="AB66" s="146"/>
      <c r="AC66" s="146"/>
      <c r="AD66" s="146"/>
      <c r="AE66" s="146"/>
      <c r="AF66" s="146"/>
      <c r="AG66" s="146"/>
      <c r="AH66" s="146"/>
      <c r="AI66" s="146"/>
      <c r="AJ66" s="146"/>
      <c r="AK66" s="2"/>
    </row>
    <row r="67" spans="2:37">
      <c r="B67" s="196" t="s">
        <v>106</v>
      </c>
      <c r="C67" s="197">
        <f>C9</f>
        <v>8509250</v>
      </c>
      <c r="D67" s="147"/>
      <c r="E67" s="215" t="s">
        <v>107</v>
      </c>
      <c r="F67" s="147"/>
      <c r="G67" s="86">
        <f t="shared" ref="G67:P67" si="31">IF(G63&gt;$C$69,$C$69+((G63-$C$69)*$C$70),G63)</f>
        <v>342886.78384490241</v>
      </c>
      <c r="H67" s="87">
        <f t="shared" si="31"/>
        <v>529378.05314350338</v>
      </c>
      <c r="I67" s="87">
        <f t="shared" si="31"/>
        <v>608461.45188106294</v>
      </c>
      <c r="J67" s="87">
        <f t="shared" si="31"/>
        <v>687401.7003185245</v>
      </c>
      <c r="K67" s="88">
        <f t="shared" si="31"/>
        <v>746618.38942259853</v>
      </c>
      <c r="L67" s="85">
        <f t="shared" si="31"/>
        <v>807858.72987367911</v>
      </c>
      <c r="M67" s="85">
        <f t="shared" si="31"/>
        <v>871188.3742256551</v>
      </c>
      <c r="N67" s="85">
        <f t="shared" si="31"/>
        <v>936675.04346929886</v>
      </c>
      <c r="O67" s="85">
        <f t="shared" si="31"/>
        <v>1004388.5910625849</v>
      </c>
      <c r="P67" s="85">
        <f t="shared" si="31"/>
        <v>1074401.0689214491</v>
      </c>
      <c r="Q67" s="146"/>
      <c r="R67" s="146"/>
      <c r="S67" s="146"/>
      <c r="T67" s="146"/>
      <c r="U67" s="146"/>
      <c r="V67" s="146"/>
      <c r="W67" s="146"/>
      <c r="X67" s="146"/>
      <c r="Y67" s="146"/>
      <c r="Z67" s="146"/>
      <c r="AA67" s="146"/>
      <c r="AB67" s="146"/>
      <c r="AC67" s="146"/>
      <c r="AD67" s="146"/>
      <c r="AE67" s="146"/>
      <c r="AF67" s="146"/>
      <c r="AG67" s="146"/>
      <c r="AH67" s="146"/>
      <c r="AI67" s="146"/>
      <c r="AJ67" s="146"/>
      <c r="AK67" s="2"/>
    </row>
    <row r="68" spans="2:37">
      <c r="B68" s="191" t="s">
        <v>108</v>
      </c>
      <c r="C68" s="198">
        <v>0.08</v>
      </c>
      <c r="D68" s="147"/>
      <c r="E68" s="215" t="s">
        <v>109</v>
      </c>
      <c r="F68" s="147"/>
      <c r="G68" s="86">
        <f>IF(G63&gt;G67,G63-G67,0)</f>
        <v>0</v>
      </c>
      <c r="H68" s="87">
        <f>IF(H63&gt;H67,H63-H67,0)</f>
        <v>0</v>
      </c>
      <c r="I68" s="87">
        <f t="shared" ref="I68:P68" si="32">IF(I63&gt;I67,I63-I67,0)</f>
        <v>0</v>
      </c>
      <c r="J68" s="87">
        <f t="shared" si="32"/>
        <v>2855.0144222247181</v>
      </c>
      <c r="K68" s="88">
        <f t="shared" si="32"/>
        <v>28233.595466827974</v>
      </c>
      <c r="L68" s="85">
        <f t="shared" si="32"/>
        <v>54479.455660148291</v>
      </c>
      <c r="M68" s="85">
        <f t="shared" si="32"/>
        <v>81620.731810995145</v>
      </c>
      <c r="N68" s="85">
        <f t="shared" si="32"/>
        <v>109686.44720112812</v>
      </c>
      <c r="O68" s="85">
        <f t="shared" si="32"/>
        <v>138706.5390268222</v>
      </c>
      <c r="P68" s="85">
        <f t="shared" si="32"/>
        <v>168711.88668062096</v>
      </c>
      <c r="Q68" s="148"/>
      <c r="R68" s="148"/>
      <c r="S68" s="148"/>
      <c r="T68" s="148"/>
      <c r="U68" s="148"/>
      <c r="V68" s="148"/>
      <c r="W68" s="148"/>
      <c r="X68" s="148"/>
      <c r="Y68" s="148"/>
      <c r="Z68" s="148"/>
      <c r="AA68" s="148"/>
      <c r="AB68" s="148"/>
      <c r="AC68" s="148"/>
      <c r="AD68" s="148"/>
      <c r="AE68" s="148"/>
      <c r="AF68" s="148"/>
      <c r="AG68" s="148"/>
      <c r="AH68" s="148"/>
      <c r="AI68" s="148"/>
      <c r="AJ68" s="148"/>
      <c r="AK68" s="2"/>
    </row>
    <row r="69" spans="2:37">
      <c r="B69" s="191" t="s">
        <v>110</v>
      </c>
      <c r="C69" s="199">
        <f>C68*C67</f>
        <v>680740</v>
      </c>
      <c r="D69" s="147"/>
      <c r="E69" s="215" t="s">
        <v>111</v>
      </c>
      <c r="F69" s="147"/>
      <c r="G69" s="149">
        <f t="shared" ref="G69:P69" si="33">G67/$C$67</f>
        <v>4.0295770349314267E-2</v>
      </c>
      <c r="H69" s="150">
        <f t="shared" si="33"/>
        <v>6.2212069588213223E-2</v>
      </c>
      <c r="I69" s="150">
        <f t="shared" si="33"/>
        <v>7.1505884993514457E-2</v>
      </c>
      <c r="J69" s="150">
        <f t="shared" si="33"/>
        <v>8.0782877494317895E-2</v>
      </c>
      <c r="K69" s="151">
        <f t="shared" si="33"/>
        <v>8.7741973666609699E-2</v>
      </c>
      <c r="L69" s="92">
        <f t="shared" si="33"/>
        <v>9.4938887666207852E-2</v>
      </c>
      <c r="M69" s="92">
        <f t="shared" si="33"/>
        <v>0.10238133492677441</v>
      </c>
      <c r="N69" s="92">
        <f t="shared" si="33"/>
        <v>0.11007727396295783</v>
      </c>
      <c r="O69" s="92">
        <f t="shared" si="33"/>
        <v>0.11803491389518288</v>
      </c>
      <c r="P69" s="92">
        <f t="shared" si="33"/>
        <v>0.12626272220482992</v>
      </c>
      <c r="Q69" s="152"/>
      <c r="R69" s="152"/>
      <c r="S69" s="152"/>
      <c r="T69" s="152"/>
      <c r="U69" s="152"/>
      <c r="V69" s="152"/>
      <c r="W69" s="152"/>
      <c r="X69" s="152"/>
      <c r="Y69" s="152"/>
      <c r="Z69" s="152"/>
      <c r="AA69" s="152"/>
      <c r="AB69" s="152"/>
      <c r="AC69" s="152"/>
      <c r="AD69" s="152"/>
      <c r="AE69" s="152"/>
      <c r="AF69" s="152"/>
      <c r="AG69" s="152"/>
      <c r="AH69" s="152"/>
      <c r="AI69" s="152"/>
      <c r="AJ69" s="152"/>
      <c r="AK69" s="2"/>
    </row>
    <row r="70" spans="2:37">
      <c r="B70" s="191" t="s">
        <v>112</v>
      </c>
      <c r="C70" s="198">
        <v>0.7</v>
      </c>
      <c r="D70" s="147"/>
      <c r="E70" s="215" t="s">
        <v>113</v>
      </c>
      <c r="F70" s="147"/>
      <c r="G70" s="86"/>
      <c r="H70" s="87"/>
      <c r="I70" s="127"/>
      <c r="J70" s="127"/>
      <c r="K70" s="154">
        <f>'IRR Calculation'!C9</f>
        <v>0.15353556642540056</v>
      </c>
      <c r="L70" s="147"/>
      <c r="M70" s="147"/>
      <c r="N70" s="147"/>
      <c r="O70" s="147"/>
      <c r="P70" s="147"/>
      <c r="Q70" s="2"/>
      <c r="R70" s="2"/>
      <c r="S70" s="153"/>
      <c r="T70" s="2"/>
      <c r="U70" s="130"/>
      <c r="V70" s="2"/>
      <c r="W70" s="2"/>
      <c r="X70" s="2"/>
      <c r="Y70" s="2"/>
      <c r="Z70" s="2"/>
      <c r="AA70" s="2"/>
      <c r="AB70" s="2"/>
      <c r="AC70" s="2"/>
      <c r="AD70" s="2"/>
      <c r="AE70" s="2"/>
      <c r="AF70" s="2"/>
      <c r="AG70" s="2"/>
      <c r="AH70" s="2"/>
      <c r="AI70" s="2"/>
      <c r="AJ70" s="2"/>
      <c r="AK70" s="2"/>
    </row>
    <row r="71" spans="2:37" ht="15.95" thickBot="1">
      <c r="B71" s="194" t="s">
        <v>114</v>
      </c>
      <c r="C71" s="200">
        <f>1-C70</f>
        <v>0.30000000000000004</v>
      </c>
      <c r="D71" s="147"/>
      <c r="E71" s="244" t="s">
        <v>115</v>
      </c>
      <c r="F71" s="244"/>
      <c r="G71" s="157">
        <f>-CUMPRINC(C62/12,C63*12,C8,1,12,0)</f>
        <v>308522.33151898067</v>
      </c>
      <c r="H71" s="158">
        <f>-CUMPRINC(C62/12,C63*12,C8,13,24,0)</f>
        <v>325212.36761951691</v>
      </c>
      <c r="I71" s="158">
        <f>-CUMPRINC(C62/12,C63*12,C8,25,36,0)</f>
        <v>342805.27938440361</v>
      </c>
      <c r="J71" s="158">
        <f>-CUMPRINC(C62/12,C63*12,C8,37,48,0)</f>
        <v>361349.90939614747</v>
      </c>
      <c r="K71" s="159">
        <f>-CUMPRINC(C62/12,C63*12,C8,49,60,0)</f>
        <v>380897.74245916877</v>
      </c>
      <c r="L71" s="160">
        <f>-CUMPRINC(C62/12,C63*12,C8,61,72,0)</f>
        <v>401503.04853525467</v>
      </c>
      <c r="M71" s="160">
        <f>-CUMPRINC(C62/12,C63*12,C8,73,84,0)</f>
        <v>423223.03341134597</v>
      </c>
      <c r="N71" s="160">
        <f>-CUMPRINC(C62/12,C63*12,C8,85,96,0)</f>
        <v>446117.99751795304</v>
      </c>
      <c r="O71" s="160">
        <f>-CUMPRINC(C62/12,C63*12,C8,97,108,0)</f>
        <v>470251.50333912059</v>
      </c>
      <c r="P71" s="160">
        <f>-CUMPRINC(C62/12,C63*12,C8,109,120,0)</f>
        <v>495690.55187871872</v>
      </c>
      <c r="Q71" s="155"/>
      <c r="R71" s="155"/>
      <c r="S71" s="155"/>
      <c r="T71" s="155"/>
      <c r="U71" s="155"/>
      <c r="V71" s="155"/>
      <c r="W71" s="155"/>
      <c r="X71" s="155"/>
      <c r="Y71" s="155"/>
      <c r="Z71" s="155"/>
      <c r="AA71" s="155"/>
      <c r="AB71" s="155"/>
      <c r="AC71" s="155"/>
      <c r="AD71" s="155"/>
      <c r="AE71" s="155"/>
      <c r="AF71" s="155"/>
      <c r="AG71" s="155"/>
      <c r="AH71" s="155"/>
      <c r="AI71" s="155"/>
      <c r="AJ71" s="155"/>
      <c r="AK71" s="2"/>
    </row>
    <row r="72" spans="2:37">
      <c r="B72" s="129"/>
      <c r="C72" s="129"/>
      <c r="D72" s="156"/>
      <c r="E72" s="229" t="s">
        <v>116</v>
      </c>
      <c r="F72" s="229"/>
      <c r="G72" s="109">
        <f t="shared" ref="G72:P72" si="34">G63+G71</f>
        <v>651409.11536388309</v>
      </c>
      <c r="H72" s="110">
        <f t="shared" si="34"/>
        <v>854590.42076302029</v>
      </c>
      <c r="I72" s="110">
        <f t="shared" si="34"/>
        <v>951266.73126546654</v>
      </c>
      <c r="J72" s="110">
        <f t="shared" si="34"/>
        <v>1051606.6241368968</v>
      </c>
      <c r="K72" s="111">
        <f t="shared" si="34"/>
        <v>1155749.7273485954</v>
      </c>
      <c r="L72" s="108">
        <f t="shared" si="34"/>
        <v>1263841.234069082</v>
      </c>
      <c r="M72" s="108">
        <f t="shared" si="34"/>
        <v>1376032.1394479962</v>
      </c>
      <c r="N72" s="108">
        <f t="shared" si="34"/>
        <v>1492479.4881883799</v>
      </c>
      <c r="O72" s="108">
        <f t="shared" si="34"/>
        <v>1613346.6334285277</v>
      </c>
      <c r="P72" s="108">
        <f t="shared" si="34"/>
        <v>1738803.5074807887</v>
      </c>
      <c r="Q72" s="97"/>
      <c r="R72" s="97"/>
      <c r="S72" s="97"/>
      <c r="T72" s="97"/>
      <c r="U72" s="97"/>
      <c r="V72" s="97"/>
      <c r="W72" s="97"/>
      <c r="X72" s="97"/>
      <c r="Y72" s="97"/>
      <c r="Z72" s="97"/>
      <c r="AA72" s="97"/>
      <c r="AB72" s="97"/>
      <c r="AC72" s="97"/>
      <c r="AD72" s="97"/>
      <c r="AE72" s="97"/>
      <c r="AF72" s="97"/>
      <c r="AG72" s="97"/>
      <c r="AH72" s="97"/>
      <c r="AI72" s="97"/>
      <c r="AJ72" s="97"/>
      <c r="AK72" s="2"/>
    </row>
    <row r="73" spans="2:37">
      <c r="B73" s="129"/>
      <c r="C73" s="129"/>
      <c r="D73" s="129"/>
      <c r="E73" s="215" t="s">
        <v>117</v>
      </c>
      <c r="F73" s="215"/>
      <c r="G73" s="201">
        <f t="shared" ref="G73:P73" si="35">G72/$C$67</f>
        <v>7.6553058772968599E-2</v>
      </c>
      <c r="H73" s="202">
        <f t="shared" si="35"/>
        <v>0.10043075720692426</v>
      </c>
      <c r="I73" s="202">
        <f t="shared" si="35"/>
        <v>0.11179207700625396</v>
      </c>
      <c r="J73" s="202">
        <f t="shared" si="35"/>
        <v>0.12358393796596608</v>
      </c>
      <c r="K73" s="203">
        <f t="shared" si="35"/>
        <v>0.13582274904939864</v>
      </c>
      <c r="L73" s="204">
        <f t="shared" si="35"/>
        <v>0.14852557323725146</v>
      </c>
      <c r="M73" s="204">
        <f t="shared" si="35"/>
        <v>0.16171015535423172</v>
      </c>
      <c r="N73" s="204">
        <f t="shared" si="35"/>
        <v>0.1753949511635432</v>
      </c>
      <c r="O73" s="204">
        <f t="shared" si="35"/>
        <v>0.18959915779046657</v>
      </c>
      <c r="P73" s="204">
        <f t="shared" si="35"/>
        <v>0.20434274553935877</v>
      </c>
      <c r="Q73" s="130"/>
      <c r="R73" s="130"/>
      <c r="S73" s="130"/>
      <c r="T73" s="130"/>
      <c r="U73" s="130"/>
      <c r="V73" s="130"/>
      <c r="W73" s="130"/>
      <c r="X73" s="130"/>
      <c r="Y73" s="130"/>
      <c r="Z73" s="130"/>
      <c r="AA73" s="130"/>
      <c r="AB73" s="130"/>
      <c r="AC73" s="130"/>
      <c r="AD73" s="130"/>
      <c r="AE73" s="130"/>
      <c r="AF73" s="130"/>
      <c r="AG73" s="130"/>
      <c r="AH73" s="130"/>
      <c r="AI73" s="130"/>
      <c r="AJ73" s="130"/>
      <c r="AK73" s="2"/>
    </row>
    <row r="74" spans="2:37">
      <c r="B74" s="129"/>
      <c r="C74" s="129"/>
      <c r="D74" s="129"/>
      <c r="E74" s="215"/>
      <c r="F74" s="215"/>
      <c r="G74" s="162"/>
      <c r="H74" s="163"/>
      <c r="I74" s="163"/>
      <c r="J74" s="163"/>
      <c r="K74" s="164"/>
      <c r="L74" s="161"/>
      <c r="M74" s="161"/>
      <c r="N74" s="161"/>
      <c r="O74" s="161"/>
      <c r="P74" s="161"/>
      <c r="Q74" s="2"/>
      <c r="R74" s="2"/>
      <c r="S74" s="2"/>
      <c r="T74" s="2"/>
      <c r="U74" s="2"/>
      <c r="V74" s="2"/>
      <c r="W74" s="2"/>
      <c r="X74" s="2"/>
      <c r="Y74" s="2"/>
      <c r="Z74" s="2"/>
      <c r="AA74" s="2"/>
      <c r="AB74" s="2"/>
      <c r="AC74" s="2"/>
      <c r="AD74" s="2"/>
      <c r="AE74" s="2"/>
      <c r="AF74" s="2"/>
      <c r="AG74" s="2"/>
      <c r="AH74" s="2"/>
      <c r="AI74" s="2"/>
      <c r="AJ74" s="2"/>
      <c r="AK74" s="2"/>
    </row>
    <row r="75" spans="2:37">
      <c r="B75" s="166" t="s">
        <v>118</v>
      </c>
      <c r="C75" s="166"/>
      <c r="D75" s="166"/>
      <c r="E75" s="166"/>
      <c r="F75" s="166"/>
      <c r="G75" s="167">
        <f t="shared" ref="G75:P75" si="36">G61/G62</f>
        <v>1.2321301466970005</v>
      </c>
      <c r="H75" s="168">
        <f t="shared" si="36"/>
        <v>1.3583824484467686</v>
      </c>
      <c r="I75" s="168">
        <f t="shared" si="36"/>
        <v>1.4119209393282099</v>
      </c>
      <c r="J75" s="168">
        <f t="shared" si="36"/>
        <v>1.4672953289556827</v>
      </c>
      <c r="K75" s="169">
        <f t="shared" si="36"/>
        <v>1.5245652891719601</v>
      </c>
      <c r="L75" s="170">
        <f t="shared" si="36"/>
        <v>1.5837923738727049</v>
      </c>
      <c r="M75" s="170">
        <f t="shared" si="36"/>
        <v>1.6450400773060116</v>
      </c>
      <c r="N75" s="170">
        <f t="shared" si="36"/>
        <v>1.7083738941576865</v>
      </c>
      <c r="O75" s="170">
        <f t="shared" si="36"/>
        <v>1.7738613814765898</v>
      </c>
      <c r="P75" s="170">
        <f t="shared" si="36"/>
        <v>1.8415722224959721</v>
      </c>
      <c r="Q75" s="165"/>
      <c r="R75" s="165"/>
      <c r="S75" s="165"/>
      <c r="T75" s="165"/>
      <c r="U75" s="165"/>
      <c r="V75" s="165"/>
      <c r="W75" s="165"/>
      <c r="X75" s="165"/>
      <c r="Y75" s="165"/>
      <c r="Z75" s="165"/>
      <c r="AA75" s="165"/>
      <c r="AB75" s="165"/>
      <c r="AC75" s="165"/>
      <c r="AD75" s="165"/>
      <c r="AE75" s="165"/>
      <c r="AF75" s="165"/>
      <c r="AG75" s="165"/>
      <c r="AH75" s="165"/>
      <c r="AI75" s="165"/>
      <c r="AJ75" s="165"/>
      <c r="AK75" s="2"/>
    </row>
    <row r="76" spans="2:37">
      <c r="B76" s="67"/>
      <c r="C76" s="67"/>
      <c r="D76" s="67"/>
      <c r="E76" s="67"/>
      <c r="F76" s="67"/>
      <c r="G76" s="144"/>
      <c r="H76" s="104"/>
      <c r="I76" s="104"/>
      <c r="J76" s="104"/>
      <c r="K76" s="105"/>
      <c r="L76" s="67"/>
      <c r="M76" s="67"/>
      <c r="N76" s="67"/>
      <c r="O76" s="67"/>
      <c r="P76" s="67"/>
      <c r="Q76" s="2"/>
      <c r="R76" s="2"/>
      <c r="S76" s="2"/>
      <c r="T76" s="2"/>
      <c r="U76" s="2"/>
      <c r="V76" s="2"/>
      <c r="W76" s="2"/>
      <c r="X76" s="2"/>
      <c r="Y76" s="2"/>
      <c r="Z76" s="2"/>
      <c r="AA76" s="2"/>
      <c r="AB76" s="2"/>
      <c r="AC76" s="2"/>
      <c r="AD76" s="2"/>
      <c r="AE76" s="2"/>
      <c r="AF76" s="2"/>
      <c r="AG76" s="2"/>
      <c r="AH76" s="2"/>
      <c r="AI76" s="2"/>
      <c r="AJ76" s="2"/>
      <c r="AK76" s="2"/>
    </row>
    <row r="77" spans="2:37">
      <c r="B77" s="67"/>
      <c r="C77" s="2"/>
      <c r="D77" s="2"/>
      <c r="E77" s="2"/>
      <c r="F77" s="2"/>
      <c r="G77" s="162"/>
      <c r="H77" s="127"/>
      <c r="I77" s="127"/>
      <c r="J77" s="127"/>
      <c r="K77" s="128"/>
      <c r="L77" s="2"/>
      <c r="M77" s="2"/>
      <c r="N77" s="2"/>
      <c r="O77" s="2"/>
      <c r="P77" s="2"/>
      <c r="Q77" s="2"/>
      <c r="R77" s="2"/>
      <c r="S77" s="2"/>
      <c r="T77" s="2"/>
      <c r="U77" s="2"/>
      <c r="V77" s="2"/>
      <c r="W77" s="2"/>
      <c r="X77" s="2"/>
      <c r="Y77" s="2"/>
      <c r="Z77" s="2"/>
      <c r="AA77" s="2"/>
      <c r="AB77" s="2"/>
      <c r="AC77" s="2"/>
      <c r="AD77" s="2"/>
      <c r="AE77" s="2"/>
      <c r="AF77" s="2"/>
      <c r="AG77" s="2"/>
      <c r="AH77" s="2"/>
      <c r="AI77" s="2"/>
      <c r="AJ77" s="2"/>
      <c r="AK77" s="2"/>
    </row>
    <row r="78" spans="2:37">
      <c r="C78" s="2"/>
      <c r="D78" s="2"/>
      <c r="E78" s="2"/>
      <c r="F78" s="67" t="s">
        <v>119</v>
      </c>
      <c r="G78" s="157">
        <f>G71</f>
        <v>308522.33151898067</v>
      </c>
      <c r="H78" s="158">
        <f>H71+G78</f>
        <v>633734.69913849758</v>
      </c>
      <c r="I78" s="158">
        <f>I71+H78</f>
        <v>976539.97852290119</v>
      </c>
      <c r="J78" s="158">
        <f>J71+I78</f>
        <v>1337889.8879190488</v>
      </c>
      <c r="K78" s="159">
        <f>K71+J78</f>
        <v>1718787.6303782174</v>
      </c>
      <c r="L78" s="155">
        <f>L71+K78</f>
        <v>2120290.6789134722</v>
      </c>
      <c r="M78" s="155">
        <f t="shared" ref="M78:P78" si="37">M71+L78</f>
        <v>2543513.7123248181</v>
      </c>
      <c r="N78" s="155">
        <f>N71+M78</f>
        <v>2989631.7098427713</v>
      </c>
      <c r="O78" s="155">
        <f>O71+N78</f>
        <v>3459883.2131818919</v>
      </c>
      <c r="P78" s="155">
        <f t="shared" si="37"/>
        <v>3955573.7650606106</v>
      </c>
      <c r="Q78" s="155"/>
      <c r="R78" s="155"/>
      <c r="S78" s="155"/>
      <c r="T78" s="155"/>
      <c r="U78" s="155"/>
      <c r="V78" s="155"/>
      <c r="W78" s="155"/>
      <c r="X78" s="155"/>
      <c r="Y78" s="155"/>
      <c r="Z78" s="155"/>
      <c r="AA78" s="155"/>
      <c r="AB78" s="155"/>
      <c r="AC78" s="155"/>
      <c r="AD78" s="155"/>
      <c r="AE78" s="155"/>
      <c r="AF78" s="155"/>
      <c r="AG78" s="155"/>
      <c r="AH78" s="155"/>
      <c r="AI78" s="155"/>
      <c r="AJ78" s="155"/>
      <c r="AK78" s="2"/>
    </row>
    <row r="79" spans="2:37" ht="15.95" thickBot="1">
      <c r="C79" s="2"/>
      <c r="D79" s="2"/>
      <c r="E79" s="2"/>
      <c r="F79" s="67" t="s">
        <v>119</v>
      </c>
      <c r="G79" s="172">
        <f>G71</f>
        <v>308522.33151898067</v>
      </c>
      <c r="H79" s="173">
        <f>H71+G79</f>
        <v>633734.69913849758</v>
      </c>
      <c r="I79" s="173">
        <f>I71+H79</f>
        <v>976539.97852290119</v>
      </c>
      <c r="J79" s="173">
        <f t="shared" ref="J79:P79" si="38">J71+I79</f>
        <v>1337889.8879190488</v>
      </c>
      <c r="K79" s="174">
        <f t="shared" si="38"/>
        <v>1718787.6303782174</v>
      </c>
      <c r="L79" s="155">
        <f t="shared" si="38"/>
        <v>2120290.6789134722</v>
      </c>
      <c r="M79" s="155">
        <f t="shared" si="38"/>
        <v>2543513.7123248181</v>
      </c>
      <c r="N79" s="155">
        <f t="shared" si="38"/>
        <v>2989631.7098427713</v>
      </c>
      <c r="O79" s="155">
        <f t="shared" si="38"/>
        <v>3459883.2131818919</v>
      </c>
      <c r="P79" s="155">
        <f t="shared" si="38"/>
        <v>3955573.7650606106</v>
      </c>
      <c r="Q79" s="171"/>
      <c r="R79" s="155"/>
      <c r="S79" s="155"/>
      <c r="T79" s="155"/>
      <c r="U79" s="155"/>
      <c r="V79" s="155"/>
      <c r="W79" s="155"/>
      <c r="X79" s="155"/>
      <c r="Y79" s="155"/>
      <c r="Z79" s="155"/>
      <c r="AA79" s="155"/>
      <c r="AB79" s="155"/>
      <c r="AC79" s="155"/>
      <c r="AD79" s="155"/>
      <c r="AE79" s="155"/>
      <c r="AF79" s="155"/>
      <c r="AG79" s="155"/>
      <c r="AH79" s="155"/>
      <c r="AI79" s="155"/>
      <c r="AJ79" s="155"/>
      <c r="AK79" s="2"/>
    </row>
    <row r="80" spans="2:37">
      <c r="E80" s="2"/>
      <c r="F80" s="2"/>
      <c r="G80" s="155"/>
      <c r="H80" s="155"/>
      <c r="I80" s="155"/>
      <c r="J80" s="155"/>
      <c r="K80" s="155"/>
      <c r="L80" s="155"/>
      <c r="M80" s="155"/>
      <c r="N80" s="155"/>
      <c r="O80" s="155"/>
      <c r="P80" s="155"/>
    </row>
    <row r="81" spans="2:16">
      <c r="B81" s="67"/>
      <c r="C81" s="2"/>
      <c r="D81" s="2"/>
      <c r="F81" s="2"/>
      <c r="G81" s="155"/>
      <c r="H81" s="155"/>
      <c r="I81" s="155"/>
      <c r="J81" s="155"/>
      <c r="K81" s="155"/>
      <c r="L81" s="155"/>
      <c r="M81" s="155"/>
      <c r="N81" s="155"/>
      <c r="O81" s="155"/>
      <c r="P81" s="155"/>
    </row>
    <row r="82" spans="2:16">
      <c r="B82" s="67"/>
      <c r="C82" s="2"/>
    </row>
  </sheetData>
  <sheetProtection selectLockedCells="1"/>
  <mergeCells count="41">
    <mergeCell ref="N7:O7"/>
    <mergeCell ref="B12:C12"/>
    <mergeCell ref="B45:C45"/>
    <mergeCell ref="B31:C31"/>
    <mergeCell ref="B32:C32"/>
    <mergeCell ref="B33:C33"/>
    <mergeCell ref="B34:C34"/>
    <mergeCell ref="B35:C35"/>
    <mergeCell ref="B36:C36"/>
    <mergeCell ref="G24:K25"/>
    <mergeCell ref="E7:I7"/>
    <mergeCell ref="K7:L7"/>
    <mergeCell ref="B7:C7"/>
    <mergeCell ref="B50:C50"/>
    <mergeCell ref="E72:F72"/>
    <mergeCell ref="B52:C52"/>
    <mergeCell ref="B53:C53"/>
    <mergeCell ref="B54:C54"/>
    <mergeCell ref="B55:C55"/>
    <mergeCell ref="B60:C60"/>
    <mergeCell ref="D61:E61"/>
    <mergeCell ref="B66:C66"/>
    <mergeCell ref="E71:F71"/>
    <mergeCell ref="D63:E63"/>
    <mergeCell ref="B51:C51"/>
    <mergeCell ref="E1:I1"/>
    <mergeCell ref="B1:C1"/>
    <mergeCell ref="D62:E62"/>
    <mergeCell ref="B37:C37"/>
    <mergeCell ref="B39:C39"/>
    <mergeCell ref="B42:C42"/>
    <mergeCell ref="B43:C43"/>
    <mergeCell ref="B44:C44"/>
    <mergeCell ref="B2:C2"/>
    <mergeCell ref="B3:C3"/>
    <mergeCell ref="B4:C4"/>
    <mergeCell ref="B5:C5"/>
    <mergeCell ref="B46:C46"/>
    <mergeCell ref="B47:C47"/>
    <mergeCell ref="B48:C48"/>
    <mergeCell ref="B49:C49"/>
  </mergeCells>
  <hyperlinks>
    <hyperlink ref="E1:I1" r:id="rId1" display="Click here for more free content on raising money and buying apartments with passive investors" xr:uid="{86049CEA-E9C1-4E4E-BF40-E70936692688}"/>
  </hyperlinks>
  <pageMargins left="0.7" right="0.7" top="0.75" bottom="0.75" header="0.3" footer="0.3"/>
  <pageSetup orientation="landscape"/>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0155C-1BD3-F04E-8F23-FB113F36F89A}">
  <dimension ref="A1:J14"/>
  <sheetViews>
    <sheetView tabSelected="1" zoomScale="170" zoomScaleNormal="170" workbookViewId="0">
      <selection activeCell="H3" sqref="H3"/>
    </sheetView>
  </sheetViews>
  <sheetFormatPr defaultColWidth="11.42578125" defaultRowHeight="15"/>
  <cols>
    <col min="1" max="1" width="14.85546875" bestFit="1" customWidth="1"/>
    <col min="2" max="2" width="11.28515625" bestFit="1" customWidth="1"/>
    <col min="3" max="3" width="14.140625" bestFit="1" customWidth="1"/>
    <col min="7" max="7" width="10.7109375" bestFit="1" customWidth="1"/>
    <col min="8" max="8" width="18.28515625" bestFit="1" customWidth="1"/>
    <col min="9" max="9" width="14.28515625" bestFit="1" customWidth="1"/>
    <col min="10" max="10" width="13.140625" bestFit="1" customWidth="1"/>
  </cols>
  <sheetData>
    <row r="1" spans="1:10">
      <c r="B1" t="s">
        <v>120</v>
      </c>
      <c r="C1" t="s">
        <v>121</v>
      </c>
      <c r="G1" t="s">
        <v>122</v>
      </c>
      <c r="H1" t="s">
        <v>123</v>
      </c>
      <c r="I1" t="s">
        <v>124</v>
      </c>
      <c r="J1" t="s">
        <v>125</v>
      </c>
    </row>
    <row r="2" spans="1:10">
      <c r="A2" t="s">
        <v>126</v>
      </c>
      <c r="B2" s="206">
        <f>-'Cash Flow Calculator'!C9</f>
        <v>-8509250</v>
      </c>
      <c r="C2" s="206">
        <f>-'Cash Flow Calculator'!C9</f>
        <v>-8509250</v>
      </c>
      <c r="D2" t="s">
        <v>127</v>
      </c>
      <c r="G2" s="205">
        <f>'Cash Flow Calculator'!C9</f>
        <v>8509250</v>
      </c>
      <c r="H2" s="205">
        <f>G2-(SUM(C3:C6)+'Cash Flow Calculator'!K67)</f>
        <v>5594503.6213894086</v>
      </c>
      <c r="I2" s="205">
        <f>'Cash Flow Calculator'!O13-'IRR Calculation'!H2</f>
        <v>11452087.834231753</v>
      </c>
      <c r="J2" s="207">
        <f>I2*'Cash Flow Calculator'!C70</f>
        <v>8016461.4839622267</v>
      </c>
    </row>
    <row r="3" spans="1:10">
      <c r="A3" s="240" t="s">
        <v>96</v>
      </c>
      <c r="B3" s="206">
        <f>'Cash Flow Calculator'!G63</f>
        <v>342886.78384490241</v>
      </c>
      <c r="C3" s="206">
        <f>'Cash Flow Calculator'!G67</f>
        <v>342886.78384490241</v>
      </c>
      <c r="D3" t="s">
        <v>57</v>
      </c>
    </row>
    <row r="4" spans="1:10">
      <c r="A4" s="240"/>
      <c r="B4" s="206">
        <f>'Cash Flow Calculator'!H63</f>
        <v>529378.05314350338</v>
      </c>
      <c r="C4" s="206">
        <f>'Cash Flow Calculator'!H67</f>
        <v>529378.05314350338</v>
      </c>
      <c r="D4" t="s">
        <v>58</v>
      </c>
    </row>
    <row r="5" spans="1:10">
      <c r="A5" s="240"/>
      <c r="B5" s="206">
        <f>'Cash Flow Calculator'!I63</f>
        <v>608461.45188106294</v>
      </c>
      <c r="C5" s="206">
        <f>'Cash Flow Calculator'!I67</f>
        <v>608461.45188106294</v>
      </c>
      <c r="D5" t="s">
        <v>59</v>
      </c>
    </row>
    <row r="6" spans="1:10">
      <c r="A6" s="240"/>
      <c r="B6" s="206">
        <f>'Cash Flow Calculator'!J63</f>
        <v>690256.71474074922</v>
      </c>
      <c r="C6" s="206">
        <f>'Cash Flow Calculator'!J67</f>
        <v>687401.7003185245</v>
      </c>
      <c r="D6" t="s">
        <v>60</v>
      </c>
    </row>
    <row r="7" spans="1:10">
      <c r="A7" s="240"/>
      <c r="B7" s="206">
        <f>'Cash Flow Calculator'!K63+B8</f>
        <v>17821443.440510586</v>
      </c>
      <c r="C7" s="206">
        <f>'Cash Flow Calculator'!K67+C8</f>
        <v>14357583.494774234</v>
      </c>
      <c r="D7" t="s">
        <v>128</v>
      </c>
    </row>
    <row r="8" spans="1:10">
      <c r="A8" t="s">
        <v>129</v>
      </c>
      <c r="B8" s="206">
        <f>'Cash Flow Calculator'!O13</f>
        <v>17046591.455621161</v>
      </c>
      <c r="C8" s="206">
        <f>J2+H2</f>
        <v>13610965.105351634</v>
      </c>
    </row>
    <row r="9" spans="1:10">
      <c r="A9" t="s">
        <v>130</v>
      </c>
      <c r="B9" s="175">
        <f>IRR(B2:B7)</f>
        <v>0.19972934163040978</v>
      </c>
      <c r="C9" s="175">
        <f>IRR(C2:C7)</f>
        <v>0.15353556642540056</v>
      </c>
    </row>
    <row r="14" spans="1:10">
      <c r="A14" s="218" t="s">
        <v>6</v>
      </c>
      <c r="B14" s="218"/>
      <c r="C14" s="218"/>
      <c r="D14" s="218"/>
      <c r="E14" s="218"/>
    </row>
  </sheetData>
  <mergeCells count="2">
    <mergeCell ref="A3:A7"/>
    <mergeCell ref="A14:E14"/>
  </mergeCells>
  <hyperlinks>
    <hyperlink ref="A14:E14" r:id="rId1" display="Click here for more free content on raising money and buying apartments with passive investors" xr:uid="{147DBE78-CB58-C24D-9798-65D22745AC1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Hicks</dc:creator>
  <cp:keywords/>
  <dc:description/>
  <cp:lastModifiedBy>Theo Hicks</cp:lastModifiedBy>
  <cp:revision/>
  <dcterms:created xsi:type="dcterms:W3CDTF">2018-08-13T17:14:05Z</dcterms:created>
  <dcterms:modified xsi:type="dcterms:W3CDTF">2020-05-21T14:34:00Z</dcterms:modified>
  <cp:category/>
  <cp:contentStatus/>
</cp:coreProperties>
</file>